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mJAK4LGv28mxIZxkDrj25hkCFcYSRDcpKNp5GsVbZId7fIyA/tmOwGTo6TCokj7RUoWGHA/ZMuqzbZY+ChBwXA==" workbookSaltValue="bZ6llMA4uI7d6L/0OmrZc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AZ16" i="13"/>
  <c r="AZ15" i="13"/>
  <c r="AZ18" i="13" s="1"/>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L16" i="2" s="1"/>
  <c r="K15" i="2"/>
  <c r="K12" i="2"/>
  <c r="L12" i="2" s="1"/>
  <c r="K11" i="2"/>
  <c r="K10" i="2"/>
  <c r="L10" i="2" s="1"/>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H15" i="2" s="1"/>
  <c r="G16" i="2"/>
  <c r="G17" i="2"/>
  <c r="C17" i="6" s="1"/>
  <c r="E15" i="2"/>
  <c r="E16" i="2"/>
  <c r="E17" i="2"/>
  <c r="C16" i="2"/>
  <c r="D16" i="2" s="1"/>
  <c r="C17" i="2"/>
  <c r="D17" i="2" s="1"/>
  <c r="I9" i="2"/>
  <c r="I10" i="2"/>
  <c r="I11" i="2"/>
  <c r="C11" i="6" s="1"/>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R12" i="14" s="1"/>
  <c r="P11" i="14"/>
  <c r="P10" i="14"/>
  <c r="R10" i="14" s="1"/>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18" i="12"/>
  <c r="ER19" i="8"/>
  <c r="EL19" i="8"/>
  <c r="AC11" i="11"/>
  <c r="EQ19" i="8"/>
  <c r="AP12" i="11"/>
  <c r="Y11" i="11"/>
  <c r="AT18" i="17"/>
  <c r="N10" i="11"/>
  <c r="N9" i="11"/>
  <c r="T10" i="21"/>
  <c r="F10" i="10"/>
  <c r="D11" i="2"/>
  <c r="N11" i="11"/>
  <c r="ES19" i="8"/>
  <c r="S19" i="13"/>
  <c r="AG19" i="19"/>
  <c r="F9" i="11"/>
  <c r="R8" i="9"/>
  <c r="X12" i="21" s="1"/>
  <c r="CI19" i="8"/>
  <c r="AE19" i="8"/>
  <c r="EP19" i="8"/>
  <c r="ER19" i="13"/>
  <c r="AL13" i="16"/>
  <c r="AP16" i="20"/>
  <c r="BH9" i="16"/>
  <c r="V15" i="11"/>
  <c r="BL9" i="11"/>
  <c r="BJ17" i="11"/>
  <c r="BH17" i="16"/>
  <c r="BH15" i="11"/>
  <c r="BG10" i="11"/>
  <c r="BH15" i="16"/>
  <c r="BM16" i="11"/>
  <c r="Q17" i="20"/>
  <c r="Q18" i="20" s="1"/>
  <c r="P17" i="17"/>
  <c r="V11" i="16"/>
  <c r="BL17" i="11"/>
  <c r="BF17" i="11"/>
  <c r="BK12" i="11"/>
  <c r="BF16" i="11"/>
  <c r="BF10" i="11"/>
  <c r="S17" i="16"/>
  <c r="BK9" i="11"/>
  <c r="BL12" i="11"/>
  <c r="S13" i="16"/>
  <c r="V12" i="21"/>
  <c r="H18" i="16"/>
  <c r="P13" i="16"/>
  <c r="AN13" i="20"/>
  <c r="F15" i="17"/>
  <c r="X11" i="17"/>
  <c r="Z13" i="17"/>
  <c r="F17" i="17"/>
  <c r="AQ17" i="17" s="1"/>
  <c r="M13" i="2"/>
  <c r="E11" i="6"/>
  <c r="AC10" i="11"/>
  <c r="T13" i="12"/>
  <c r="BK15" i="11"/>
  <c r="BK11" i="11"/>
  <c r="S9" i="17"/>
  <c r="X9" i="17"/>
  <c r="V11" i="11"/>
  <c r="AP10" i="21"/>
  <c r="BI10" i="11"/>
  <c r="BM12" i="11"/>
  <c r="Q10" i="21"/>
  <c r="BH9" i="11"/>
  <c r="S9" i="14"/>
  <c r="V9" i="14" s="1"/>
  <c r="V9" i="11"/>
  <c r="BI15" i="11"/>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S19" i="8"/>
  <c r="BF15" i="8"/>
  <c r="BD12" i="8"/>
  <c r="BD9" i="8"/>
  <c r="X12" i="17"/>
  <c r="AV18" i="17"/>
  <c r="J18" i="17"/>
  <c r="L15" i="2"/>
  <c r="U9" i="17"/>
  <c r="U19" i="17" s="1"/>
  <c r="T13" i="16"/>
  <c r="AP13" i="16"/>
  <c r="V9" i="16"/>
  <c r="T18" i="17"/>
  <c r="BF15" i="13"/>
  <c r="BA18"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Y18" i="8" l="1"/>
  <c r="AJ19" i="8"/>
  <c r="AO16" i="17"/>
  <c r="C18" i="7"/>
  <c r="T19" i="8"/>
  <c r="AW18" i="21"/>
  <c r="B18" i="2"/>
  <c r="L12" i="14"/>
  <c r="AB19" i="8"/>
  <c r="Z19" i="8"/>
  <c r="H13" i="12"/>
  <c r="AY13" i="8"/>
  <c r="AY19" i="8" s="1"/>
  <c r="BG10" i="8"/>
  <c r="K10" i="7" s="1"/>
  <c r="C19" i="3"/>
  <c r="AO12" i="11"/>
  <c r="AO17" i="11"/>
  <c r="AL10" i="11"/>
  <c r="E9" i="6"/>
  <c r="H12" i="7"/>
  <c r="B12" i="6"/>
  <c r="AO9" i="11"/>
  <c r="AO16" i="11"/>
  <c r="F9" i="2"/>
  <c r="B17" i="6"/>
  <c r="B16" i="6"/>
  <c r="H12" i="2"/>
  <c r="M18" i="2"/>
  <c r="M19" i="2" s="1"/>
  <c r="N18" i="2"/>
  <c r="AL11" i="11"/>
  <c r="B9" i="6"/>
  <c r="AO12" i="17"/>
  <c r="F11" i="11"/>
  <c r="AQ11" i="11" s="1"/>
  <c r="C10" i="6"/>
  <c r="BF16" i="13"/>
  <c r="BE16" i="13"/>
  <c r="BG15" i="8"/>
  <c r="E15" i="6"/>
  <c r="BD15" i="8"/>
  <c r="H15" i="7" s="1"/>
  <c r="BE15" i="8"/>
  <c r="I15" i="7" s="1"/>
  <c r="BG16" i="8"/>
  <c r="K16" i="7" s="1"/>
  <c r="E18" i="2"/>
  <c r="F18" i="2" s="1"/>
  <c r="AL15" i="11"/>
  <c r="L16" i="14"/>
  <c r="F15" i="11"/>
  <c r="F16" i="17"/>
  <c r="F18" i="17" s="1"/>
  <c r="BF9" i="13"/>
  <c r="D11" i="12"/>
  <c r="D12" i="12"/>
  <c r="BF11" i="8"/>
  <c r="BF9" i="8"/>
  <c r="BG9" i="8"/>
  <c r="K9" i="7" s="1"/>
  <c r="BD11" i="8"/>
  <c r="BE11" i="8"/>
  <c r="I11" i="12" s="1"/>
  <c r="BG12" i="8"/>
  <c r="K12" i="7" s="1"/>
  <c r="BE12" i="8"/>
  <c r="L11" i="14"/>
  <c r="F12" i="11"/>
  <c r="AQ12" i="11" s="1"/>
  <c r="BH11" i="16"/>
  <c r="BF11" i="11"/>
  <c r="T9" i="1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G18" i="2"/>
  <c r="L17" i="14"/>
  <c r="H11" i="7"/>
  <c r="B11" i="6"/>
  <c r="AL9" i="11"/>
  <c r="AO15" i="17"/>
  <c r="AO9" i="1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I12" i="12"/>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D19" i="12" s="1"/>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E10" i="6"/>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B18" i="6" l="1"/>
  <c r="AI19" i="11"/>
  <c r="J18" i="2"/>
  <c r="G21" i="11"/>
  <c r="K12" i="12"/>
  <c r="G19" i="7"/>
  <c r="F19" i="7"/>
  <c r="K10" i="12"/>
  <c r="H13" i="2"/>
  <c r="AM13" i="11"/>
  <c r="K15" i="12"/>
  <c r="AL18" i="11"/>
  <c r="F18" i="11"/>
  <c r="C18" i="6"/>
  <c r="I11" i="7"/>
  <c r="K9" i="12"/>
  <c r="Y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Y20" i="11"/>
  <c r="AG20" i="17"/>
  <c r="V20" i="17"/>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K20" i="16"/>
  <c r="Q20" i="11"/>
  <c r="P20" i="17"/>
  <c r="U20" i="11"/>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<sst xmlns="http://schemas.openxmlformats.org/spreadsheetml/2006/main" count="2102" uniqueCount="918">
  <si>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</si>
  <si>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</si>
  <si>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</si>
  <si>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</si>
  <si>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</si>
  <si>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</si>
  <si>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</si>
  <si>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</si>
  <si>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</si>
  <si>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</si>
  <si>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</si>
  <si>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</si>
  <si>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</si>
  <si>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</si>
  <si>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</si>
  <si>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</si>
  <si>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</si>
  <si>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</si>
  <si>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</si>
  <si>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</si>
  <si>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</si>
  <si>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</si>
  <si>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</si>
  <si>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</si>
  <si>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</si>
  <si>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</si>
  <si>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</si>
  <si>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</si>
  <si>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</si>
  <si>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</si>
  <si>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</si>
  <si>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</si>
  <si>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</si>
  <si>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</si>
  <si>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</si>
  <si>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</si>
  <si>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</si>
  <si>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</si>
  <si>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</si>
  <si>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</si>
  <si>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</si>
  <si>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</si>
  <si>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</si>
  <si>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</si>
  <si>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</si>
  <si>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</si>
  <si>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</si>
  <si>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</si>
  <si>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</si>
  <si>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</si>
  <si>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</si>
  <si>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</si>
  <si>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</si>
  <si>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</si>
  <si>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</si>
  <si>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</si>
  <si>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</si>
  <si>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</si>
  <si>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</si>
  <si>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</si>
  <si>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</si>
  <si>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</si>
  <si>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</si>
  <si>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</si>
  <si>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</si>
  <si>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</si>
  <si>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</si>
  <si>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</si>
  <si>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</si>
  <si>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</si>
  <si>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</si>
  <si>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</si>
  <si>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</si>
  <si>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</si>
  <si>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</si>
  <si>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</si>
  <si>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</si>
  <si>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</si>
  <si>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</si>
  <si>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</si>
  <si>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</si>
  <si>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</si>
  <si>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</si>
  <si>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</si>
  <si>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</si>
  <si>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</si>
  <si>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</si>
  <si>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</si>
  <si>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</si>
  <si>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</si>
  <si>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</si>
  <si>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</si>
  <si>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</si>
  <si>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</si>
  <si>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</si>
  <si>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</si>
  <si>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</si>
  <si>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</si>
  <si>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</si>
  <si>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</si>
  <si>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</si>
  <si>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</si>
  <si>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</si>
  <si>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</si>
  <si>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</si>
  <si>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</si>
  <si>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</si>
  <si>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</si>
  <si>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</si>
  <si>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</si>
  <si>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</si>
  <si>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</si>
  <si>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</si>
  <si>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</si>
  <si>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</si>
  <si>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</si>
  <si>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</si>
  <si>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</si>
  <si>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</si>
  <si>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</si>
  <si>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</si>
  <si>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</si>
  <si>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</si>
  <si>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</si>
  <si>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</si>
  <si>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</si>
  <si>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</si>
  <si>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</si>
  <si>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</si>
  <si>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</si>
  <si>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</si>
  <si>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</si>
  <si>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</si>
  <si>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</si>
  <si>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</si>
  <si>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</si>
  <si>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</si>
  <si>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</si>
  <si>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</si>
  <si>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</si>
  <si>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</si>
  <si>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</si>
  <si>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</si>
  <si>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</si>
  <si>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</si>
  <si>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</si>
  <si>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</si>
  <si>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</si>
  <si>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</si>
  <si>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</si>
  <si>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</si>
  <si>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</si>
  <si>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</si>
  <si>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</si>
  <si>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</si>
  <si>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</si>
  <si>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</si>
  <si>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</si>
  <si>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</si>
  <si>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</si>
  <si>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</si>
  <si>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</si>
  <si>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</si>
  <si>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</si>
  <si>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</si>
  <si>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</si>
  <si>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</si>
  <si>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</si>
  <si>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</si>
  <si>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</si>
  <si>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</si>
  <si>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</si>
  <si>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</si>
  <si>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</si>
  <si>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</si>
  <si>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</si>
  <si>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</si>
  <si>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</si>
  <si>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</si>
  <si>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</si>
  <si>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</si>
  <si>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</si>
  <si>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</si>
  <si>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</si>
  <si>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</si>
  <si>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</si>
  <si>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</si>
  <si>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</si>
  <si>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</si>
  <si>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</si>
  <si>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</si>
  <si>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</si>
  <si>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</si>
  <si>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</si>
  <si>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</si>
  <si>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</si>
  <si>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</si>
  <si>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</si>
  <si>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</si>
  <si>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</si>
  <si>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</si>
  <si>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</si>
  <si>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</si>
  <si>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</si>
  <si>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</si>
  <si>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</si>
  <si>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</si>
  <si>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</si>
  <si>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</si>
  <si>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</si>
  <si>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</si>
  <si>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</si>
  <si>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</si>
  <si>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</si>
  <si>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</si>
  <si>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</si>
  <si>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</si>
  <si>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</si>
  <si>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</si>
  <si>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</si>
  <si>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</si>
  <si>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</si>
  <si>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</si>
  <si>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</si>
  <si>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</si>
  <si>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</si>
  <si>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</si>
  <si>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</si>
  <si>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</si>
  <si>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</si>
  <si>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</si>
  <si>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</si>
  <si>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</si>
  <si>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</si>
  <si>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</si>
  <si>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</si>
  <si>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</si>
  <si>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</si>
  <si>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</si>
  <si>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</si>
  <si>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</si>
  <si>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</si>
  <si>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</si>
  <si>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</si>
  <si>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</si>
  <si>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</si>
  <si>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</si>
  <si>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</si>
  <si>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</si>
  <si>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</si>
  <si>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</si>
  <si>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</si>
  <si>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</si>
  <si>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</si>
  <si>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</si>
  <si>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</si>
  <si>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</si>
  <si>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</si>
  <si>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</si>
  <si>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</si>
  <si>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</si>
  <si>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</si>
  <si>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</si>
  <si>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</si>
  <si>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</si>
  <si>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</si>
  <si>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</si>
  <si>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</si>
  <si>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</si>
  <si>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</si>
  <si>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</si>
  <si>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</si>
  <si>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</si>
  <si>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</si>
  <si>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</si>
  <si>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</si>
  <si>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</si>
  <si>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</si>
  <si>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</si>
  <si>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</si>
  <si>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</si>
  <si>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</si>
  <si>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</si>
  <si>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</si>
  <si>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</si>
  <si>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</si>
  <si>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</si>
  <si>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</si>
  <si>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</si>
  <si>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</si>
  <si>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</si>
  <si>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</si>
  <si>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</si>
  <si>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</si>
  <si>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</si>
  <si>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</si>
  <si>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</si>
  <si>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</si>
  <si>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</si>
  <si>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</si>
  <si>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</si>
  <si>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</si>
  <si>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</si>
  <si>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</si>
  <si>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</si>
  <si>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</si>
  <si>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</si>
  <si>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</si>
  <si>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</si>
  <si>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</si>
  <si>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</si>
  <si>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</si>
  <si>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</si>
  <si>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</si>
  <si>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</si>
  <si>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</si>
  <si>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</si>
  <si>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</si>
  <si>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</si>
  <si>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</si>
  <si>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</si>
  <si>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</si>
  <si>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</si>
  <si>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</si>
  <si>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</si>
  <si>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</si>
  <si>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</si>
  <si>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</si>
  <si>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</si>
  <si>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</si>
  <si>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</si>
  <si>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</si>
  <si>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</si>
  <si>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</si>
  <si>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</si>
  <si>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</si>
  <si>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</si>
  <si>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</si>
  <si>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</si>
  <si>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</si>
  <si>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</si>
  <si>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</si>
  <si>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</si>
  <si>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</si>
  <si>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</si>
  <si>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</si>
  <si>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</si>
  <si>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</si>
  <si>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</si>
  <si>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</si>
  <si>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</si>
  <si>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</si>
  <si>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</si>
  <si>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</si>
  <si>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</si>
  <si>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</si>
  <si>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</si>
  <si>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</si>
  <si>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</si>
  <si>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</si>
  <si>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</si>
  <si>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</si>
  <si>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</si>
  <si>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</si>
  <si>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</si>
  <si>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</si>
  <si>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</si>
  <si>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</si>
  <si>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</si>
  <si>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</si>
  <si>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</si>
  <si>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</si>
  <si>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</si>
  <si>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</si>
  <si>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</si>
  <si>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</si>
  <si>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</si>
  <si>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</si>
  <si>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</si>
  <si>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</si>
  <si>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</si>
  <si>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</si>
  <si>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</si>
  <si>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</si>
  <si>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</si>
  <si>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</si>
  <si>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</si>
  <si>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</si>
  <si>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</si>
  <si>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</si>
  <si>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</si>
  <si>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</si>
  <si>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</si>
  <si>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</si>
  <si>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</si>
  <si>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</si>
  <si>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</si>
  <si>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</si>
  <si>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</si>
  <si>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</si>
  <si>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</si>
  <si>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</si>
  <si>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</si>
  <si>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</si>
  <si>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</si>
  <si>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</si>
  <si>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</si>
  <si>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</si>
  <si>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</si>
  <si>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</si>
  <si>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</si>
  <si>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</si>
  <si>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</si>
  <si>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</si>
  <si>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</si>
  <si>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</si>
  <si>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</si>
  <si>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</si>
  <si>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</si>
  <si>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</si>
  <si>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</si>
  <si>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</si>
  <si>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</si>
  <si>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</si>
  <si>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</si>
  <si>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</si>
  <si>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</si>
  <si>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</si>
  <si>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</si>
  <si>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</si>
  <si>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</si>
  <si>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</si>
  <si>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</si>
  <si>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</si>
  <si>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</si>
  <si>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</si>
  <si>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</si>
  <si>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</si>
  <si>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</si>
  <si>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</si>
  <si>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</si>
  <si>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</si>
  <si>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</si>
  <si>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</si>
  <si>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</si>
  <si>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</si>
  <si>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</si>
  <si>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</si>
  <si>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</si>
  <si>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</si>
  <si>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</si>
  <si>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</si>
  <si>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</si>
  <si>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</si>
  <si>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</si>
  <si>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</si>
  <si>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</si>
  <si>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</si>
  <si>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</si>
  <si>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</si>
  <si>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</si>
  <si>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</si>
  <si>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</si>
  <si>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</si>
  <si>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</si>
  <si>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</si>
  <si>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</si>
  <si>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</si>
  <si>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</si>
  <si>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</si>
  <si>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</si>
  <si>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</si>
  <si>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</si>
  <si>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</si>
  <si>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</si>
  <si>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</si>
  <si>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</si>
  <si>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</si>
  <si>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</si>
  <si>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</si>
  <si>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</si>
  <si>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</si>
  <si>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</si>
  <si>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</si>
  <si>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</si>
  <si>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</si>
  <si>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</si>
  <si>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</si>
  <si>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</si>
  <si>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</si>
  <si>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</si>
  <si>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</si>
  <si>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</si>
  <si>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</si>
  <si>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</si>
  <si>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</si>
  <si>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</si>
  <si>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</si>
  <si>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</si>
  <si>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</si>
  <si>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</si>
  <si>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</si>
  <si>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</si>
  <si>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</si>
  <si>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</si>
  <si>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</si>
  <si>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</si>
  <si>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</si>
  <si>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</si>
  <si>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</si>
  <si>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</si>
  <si>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</si>
  <si>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</si>
  <si>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</si>
  <si>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</si>
  <si>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</si>
  <si>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</si>
  <si>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</si>
  <si>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</si>
  <si>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</si>
  <si>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</si>
  <si>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</si>
  <si>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</si>
  <si>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</si>
  <si>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</si>
  <si>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</si>
  <si>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</si>
  <si>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</si>
  <si>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</si>
  <si>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</si>
  <si>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</si>
  <si>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</si>
  <si>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</si>
  <si>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</si>
  <si>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</si>
  <si>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</si>
  <si>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</si>
  <si>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</si>
  <si>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</si>
  <si>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</si>
  <si>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</si>
  <si>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</si>
  <si>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</si>
  <si>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</si>
  <si>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</si>
  <si>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</si>
  <si>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</si>
  <si>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</si>
  <si>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</si>
  <si>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</si>
  <si>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</si>
  <si>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</si>
  <si>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</si>
  <si>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</si>
  <si>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</si>
  <si>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</si>
  <si>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</si>
  <si>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</si>
  <si>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</si>
  <si>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</si>
  <si>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</si>
  <si>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</si>
  <si>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</si>
  <si>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</si>
  <si>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</si>
  <si>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</si>
  <si>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</si>
  <si>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</si>
  <si>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</si>
  <si>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</si>
  <si>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</si>
  <si>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</si>
  <si>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</si>
  <si>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</si>
  <si>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</si>
  <si>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</si>
  <si>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</si>
  <si>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</si>
  <si>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</si>
  <si>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</si>
  <si>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</si>
  <si>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</si>
  <si>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</si>
  <si>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</si>
  <si>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</si>
  <si>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</si>
  <si>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</si>
  <si>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</si>
  <si>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</si>
  <si>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</si>
  <si>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</si>
  <si>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</si>
  <si>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</si>
  <si>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</si>
  <si>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</si>
  <si>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</si>
  <si>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</si>
  <si>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</si>
  <si>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</si>
  <si>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</si>
  <si>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</si>
  <si>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</si>
  <si>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</si>
  <si>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</si>
  <si>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</si>
  <si>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</si>
  <si>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</si>
  <si>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</si>
  <si>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</si>
  <si>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</si>
  <si>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</si>
  <si>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</si>
  <si>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</si>
  <si>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</si>
  <si>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</si>
  <si>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</si>
  <si>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</si>
  <si>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</si>
  <si>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</si>
  <si>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</si>
  <si>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</si>
  <si>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</si>
  <si>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</si>
  <si>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</si>
  <si>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</si>
  <si>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</si>
  <si>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</si>
  <si>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</si>
  <si>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</si>
  <si>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</si>
  <si>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</si>
  <si>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</si>
  <si>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</si>
  <si>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</si>
  <si>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</si>
  <si>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</si>
  <si>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</si>
  <si>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</si>
  <si>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</si>
  <si>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</si>
  <si>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</si>
  <si>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</si>
  <si>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</si>
  <si>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</si>
  <si>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</si>
  <si>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</si>
  <si>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</si>
  <si>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</si>
  <si>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</si>
  <si>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</si>
  <si>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</si>
  <si>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</si>
  <si>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</si>
  <si>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</si>
  <si>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</si>
  <si>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</si>
  <si>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</si>
  <si>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</si>
  <si>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</si>
  <si>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</si>
  <si>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</si>
  <si>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</si>
  <si>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</si>
  <si>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</si>
  <si>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</si>
  <si>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</si>
  <si>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</si>
  <si>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</si>
  <si>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</si>
  <si>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</si>
  <si>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</si>
  <si>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</si>
  <si>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</si>
  <si>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</si>
  <si>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</si>
  <si>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</si>
  <si>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</si>
  <si>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</si>
  <si>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</si>
  <si>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</si>
  <si>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</si>
  <si>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</si>
  <si>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</si>
  <si>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</si>
  <si>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</si>
  <si>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</si>
  <si>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</si>
  <si>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</si>
  <si>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</si>
  <si>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</si>
  <si>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</si>
  <si>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</si>
  <si>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</si>
  <si>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</si>
  <si>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</si>
  <si>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</si>
  <si>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</si>
  <si>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</si>
  <si>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</si>
  <si>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</si>
  <si>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</si>
  <si>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</si>
  <si>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</si>
  <si>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</si>
  <si>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</si>
  <si>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</si>
  <si>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</si>
  <si>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</si>
  <si>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</si>
  <si>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</si>
  <si>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</si>
  <si>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</si>
  <si>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</si>
  <si>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</si>
  <si>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</si>
  <si>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</si>
  <si>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</si>
  <si>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</si>
  <si>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</si>
  <si>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</si>
  <si>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</si>
  <si>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</si>
  <si>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</si>
  <si>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</si>
  <si>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</si>
  <si>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</si>
  <si>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</si>
  <si>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</si>
  <si>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</si>
  <si>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</si>
  <si>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</si>
  <si>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</si>
  <si>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</si>
  <si>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</si>
  <si>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</si>
  <si>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</si>
  <si>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</si>
  <si>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</si>
  <si>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</si>
  <si>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</si>
  <si>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</si>
  <si>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</si>
  <si>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</si>
  <si>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</si>
  <si>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</si>
  <si>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</si>
  <si>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</si>
  <si>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</si>
  <si>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</si>
  <si>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</si>
  <si>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</si>
  <si>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</si>
  <si>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</si>
  <si>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</si>
  <si>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</si>
  <si>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</si>
  <si>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</si>
  <si>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</si>
  <si>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</si>
  <si>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</si>
  <si>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</si>
  <si>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</si>
  <si>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</si>
  <si>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</si>
  <si>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</si>
  <si>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</si>
  <si>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</si>
  <si>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</si>
  <si>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</si>
  <si>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</si>
  <si>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</si>
  <si>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</si>
  <si>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</si>
  <si>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</si>
  <si>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</si>
  <si>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</si>
  <si>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</si>
  <si>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</si>
  <si>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</si>
  <si>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</si>
  <si>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</si>
  <si>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</si>
  <si>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</si>
  <si>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</si>
  <si>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</si>
  <si>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</si>
  <si>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</si>
  <si>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</si>
  <si>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</si>
  <si>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</si>
  <si>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</si>
  <si>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</si>
  <si>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</si>
  <si>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</si>
  <si>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</si>
  <si>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</si>
  <si>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</si>
  <si>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</si>
  <si>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</si>
  <si>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</si>
  <si>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</si>
  <si>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</si>
  <si>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</si>
  <si>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</si>
  <si>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</si>
  <si>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</si>
  <si>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</si>
  <si>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</si>
  <si>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</si>
  <si>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</si>
  <si>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</si>
  <si>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</si>
  <si>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</si>
  <si>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</si>
  <si>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</si>
  <si>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</si>
  <si>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</si>
  <si>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</si>
  <si>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</si>
  <si>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</si>
  <si>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</si>
  <si>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</si>
  <si>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</si>
  <si>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</si>
  <si>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</si>
  <si>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</si>
  <si>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</si>
  <si>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</si>
  <si>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</si>
  <si>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</si>
  <si>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</si>
  <si>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</si>
  <si>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</si>
  <si>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</si>
  <si>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</si>
  <si>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</si>
  <si>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</si>
  <si>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</si>
  <si>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</si>
  <si>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</si>
  <si>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</si>
  <si>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</si>
  <si>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</si>
  <si>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</si>
  <si>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</si>
  <si>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</si>
  <si>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</si>
  <si>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</si>
  <si>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</si>
  <si>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</si>
  <si>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</si>
  <si>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</si>
  <si>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</si>
  <si>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</si>
  <si>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</si>
  <si>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</si>
  <si>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</si>
  <si>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</si>
  <si>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</si>
  <si>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</si>
  <si>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</si>
  <si>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</si>
  <si>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</si>
  <si>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</si>
  <si>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</si>
  <si>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</si>
  <si>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</si>
  <si>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</si>
  <si>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</si>
  <si>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</si>
  <si>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</si>
  <si>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</si>
  <si>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</si>
  <si>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</si>
  <si>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</si>
  <si>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</si>
  <si>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</si>
  <si>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</si>
  <si>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</si>
  <si>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</si>
  <si>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</si>
  <si>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</si>
  <si>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</si>
  <si>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</si>
  <si>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</si>
  <si>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</si>
  <si>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</si>
  <si>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</si>
  <si>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</si>
  <si>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</si>
  <si>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</si>
  <si>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</si>
  <si>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</si>
  <si>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</si>
  <si>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</si>
  <si>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</si>
  <si>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</si>
  <si>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</si>
  <si>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</si>
  <si>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</si>
  <si>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</si>
  <si>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</si>
  <si>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</si>
  <si>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</si>
  <si>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</si>
  <si>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</si>
  <si>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</si>
  <si>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</si>
  <si>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</si>
  <si>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</si>
  <si>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</si>
  <si>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</si>
  <si>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</si>
  <si>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ANDALUCIA</t>
  </si>
  <si>
    <t>Provincias</t>
  </si>
  <si>
    <t>GRANADA</t>
  </si>
  <si>
    <t>Resumenes por Partidos Judiciales</t>
  </si>
  <si>
    <t>GUADIX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</si>
</sst>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D6tfXpyvIDHnfs1JQ5McrYQUmgxvdvEcqzoN5K4D0OEQuRnmRpOFwJq83CdLY19BgQTRqd7K1tun3GECNpOPxQ==" saltValue="g4wgHy8sPLVhfd9jtd60m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28</v>
      </c>
      <c r="D10" s="224">
        <f>IF(ISNUMBER(Datos!I10),Datos!I10," - ")</f>
        <v>28</v>
      </c>
      <c r="E10" s="225">
        <f>IF(ISNUMBER(Datos!J10),Datos!J10," - ")</f>
        <v>33</v>
      </c>
      <c r="F10" s="225">
        <f>IF(ISNUMBER(Datos!K10),Datos!K10," - ")</f>
        <v>20</v>
      </c>
      <c r="G10" s="1033" t="str">
        <f>IF(Datos!E10&lt;&gt;"",Datos!E10,Datos!D10)</f>
        <v>37</v>
      </c>
      <c r="H10" s="226">
        <f>IF(ISNUMBER(Datos!L10),Datos!L10," - ")</f>
        <v>41</v>
      </c>
      <c r="I10" s="1043" t="str">
        <f>IF(ISNUMBER(Datos!AS10/Datos!BM10),Datos!AS10/Datos!BM10," - ")</f>
        <v xml:space="preserve"> - </v>
      </c>
      <c r="J10" s="1044">
        <f>IF(ISNUMBER(Datos!BY10/Datos!CN10),Datos!BY10/Datos!CN10," - ")</f>
        <v>0</v>
      </c>
      <c r="K10" s="229">
        <f t="shared" ref="K10:K12" si="1">IF(ISNUMBER((E10-F10)/C10),(E10-F10)/C10," - ")</f>
        <v>0.4642857142857143</v>
      </c>
      <c r="L10" s="1024">
        <f>IF(ISNUMBER(NºAsuntos!I10/NºAsuntos!G10),(NºAsuntos!I10/NºAsuntos!G10)*11," - ")</f>
        <v>22.549999999999997</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7.7777204744713773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28</v>
      </c>
      <c r="D13" s="1048">
        <f>SUBTOTAL(9,D9:D12)</f>
        <v>28</v>
      </c>
      <c r="E13" s="1049">
        <f>SUBTOTAL(9,E9:E12)</f>
        <v>33</v>
      </c>
      <c r="F13" s="1050">
        <f>SUBTOTAL(9,F9:F12)</f>
        <v>20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1073</v>
      </c>
      <c r="D16" s="224">
        <f>IF(ISNUMBER(IF(D_I="SI",Datos!I16,Datos!I16+Datos!AC16)),IF(D_I="SI",Datos!I16,Datos!I16+Datos!AC16)," - ")</f>
        <v>876</v>
      </c>
      <c r="E16" s="225">
        <f>IF(ISNUMBER(IF(D_I="SI",Datos!J16,Datos!J16+Datos!AD16)),IF(D_I="SI",Datos!J16,Datos!J16+Datos!AD16)," - ")</f>
        <v>2058</v>
      </c>
      <c r="F16" s="225">
        <f>IF(ISNUMBER(IF(D_I="SI",Datos!K16,Datos!K16+Datos!AE16)),IF(D_I="SI",Datos!K16,Datos!K16+Datos!AE16)," - ")</f>
        <v>1844</v>
      </c>
      <c r="G16" s="1033" t="str">
        <f>IF(Datos!E16&lt;&gt;"",Datos!E16,Datos!D16)</f>
        <v>04</v>
      </c>
      <c r="H16" s="226">
        <f>IF(ISNUMBER(IF(D_I="SI",Datos!L16,Datos!L16+Datos!AF16)),IF(D_I="SI",Datos!L16,Datos!L16+Datos!AF16)," - ")</f>
        <v>1287</v>
      </c>
      <c r="I16" s="1043" t="str">
        <f>IF(ISNUMBER(Datos!AS16/Datos!BM16),Datos!AS16/Datos!BM16," - ")</f>
        <v xml:space="preserve"> - </v>
      </c>
      <c r="J16" s="1044">
        <f>IF(ISNUMBER(Datos!BY16/Datos!CN16),Datos!BY16/Datos!CN16," - ")</f>
        <v>0</v>
      </c>
      <c r="K16" s="229">
        <f t="shared" si="3"/>
        <v>0.19944082013047532</v>
      </c>
      <c r="L16" s="1024">
        <f>IF(ISNUMBER(NºAsuntos!I16/NºAsuntos!G16),(NºAsuntos!I16/NºAsuntos!G16)*11," - ")</f>
        <v>7.6773318872017358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110</v>
      </c>
      <c r="D17" s="224">
        <f>IF(ISNUMBER(IF(D_I="SI",Datos!I17,Datos!I17+Datos!AC17)),IF(D_I="SI",Datos!I17,Datos!I17+Datos!AC17)," - ")</f>
        <v>110</v>
      </c>
      <c r="E17" s="225">
        <f>IF(ISNUMBER(IF(D_I="SI",Datos!J17,Datos!J17+Datos!AD17)),IF(D_I="SI",Datos!J17,Datos!J17+Datos!AD17)," - ")</f>
        <v>228</v>
      </c>
      <c r="F17" s="225">
        <f>IF(ISNUMBER(IF(D_I="SI",Datos!K17,Datos!K17+Datos!AE17)),IF(D_I="SI",Datos!K17,Datos!K17+Datos!AE17)," - ")</f>
        <v>213</v>
      </c>
      <c r="G17" s="1033" t="str">
        <f>IF(Datos!E17&lt;&gt;"",Datos!E17,Datos!D17)</f>
        <v>37</v>
      </c>
      <c r="H17" s="226">
        <f>IF(ISNUMBER(IF(D_I="SI",Datos!L17,Datos!L17+Datos!AF17)),IF(D_I="SI",Datos!L17,Datos!L17+Datos!AF17)," - ")</f>
        <v>125</v>
      </c>
      <c r="I17" s="1043" t="str">
        <f>IF(ISNUMBER(Datos!AS17/Datos!BM17),Datos!AS17/Datos!BM17," - ")</f>
        <v xml:space="preserve"> - </v>
      </c>
      <c r="J17" s="1044" t="str">
        <f>IF(ISNUMBER((Datos!BY17+Datos!BZ17)/Datos!CN17),(Datos!BY17+Datos!BZ17)/Datos!CN17," - ")</f>
        <v xml:space="preserve"> - </v>
      </c>
      <c r="K17" s="229">
        <f t="shared" si="3"/>
        <v>0.13636363636363635</v>
      </c>
      <c r="L17" s="1024">
        <f>IF(ISNUMBER(NºAsuntos!I17/NºAsuntos!G17),(NºAsuntos!I17/NºAsuntos!G17)*11," - ")</f>
        <v>6.455399061032864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1183</v>
      </c>
      <c r="D18" s="1048">
        <f>SUBTOTAL(9,D15:D17)</f>
        <v>986</v>
      </c>
      <c r="E18" s="1049">
        <f>SUBTOTAL(9,E15:E17)</f>
        <v>2286</v>
      </c>
      <c r="F18" s="1049">
        <f>SUBTOTAL(9,F15:F17)</f>
        <v>2057</v>
      </c>
      <c r="G18" s="1051" t="str">
        <f ca="1">INDIRECT(CONCATENATE("G",ROW()-1))</f>
        <v>37</v>
      </c>
      <c r="H18" s="1052">
        <f ca="1">SUMIF(G$14:G17,G18,H$14:H17)</f>
        <v>125</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1211</v>
      </c>
      <c r="D19" s="1070">
        <f>SUBTOTAL(9,D9:D18)</f>
        <v>1014</v>
      </c>
      <c r="E19" s="1071">
        <f>SUBTOTAL(9,E9:E18)</f>
        <v>2319</v>
      </c>
      <c r="F19" s="1071">
        <f>SUBTOTAL(9,F9:F18)</f>
        <v>2077</v>
      </c>
      <c r="G19" s="1072"/>
      <c r="H19" s="1073">
        <f ca="1">SUMIF(B9:B18,"TOTAL",H9:H18)</f>
        <v>125</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O2jntd7so5o60egts1lbXNHklSh/Na4Js+rC84fVSyGdP2wZCaDNbi3A1VM2g1HuZbnMQvDC2D5kxcEKD8A7mA==" saltValue="r8lsFCwkAHHsGXHxR4h/b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V/VvLKKISdzqrIwrG6WJ8dSGiMaKLAdwkCU+AokFr5+JwTyIO/5qtunxkbJf73DRE+Tu9NYli6krjbTTA9lxPQ==" saltValue="I6Mt8qBy8/uU9Pn0ytCG1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28</v>
      </c>
      <c r="J10" s="180">
        <v>33</v>
      </c>
      <c r="K10" s="180">
        <v>20</v>
      </c>
      <c r="L10" s="180">
        <v>41</v>
      </c>
      <c r="M10" s="180">
        <v>8</v>
      </c>
      <c r="N10" s="180">
        <v>6</v>
      </c>
      <c r="O10" s="180">
        <v>5</v>
      </c>
      <c r="P10" s="180">
        <v>4</v>
      </c>
      <c r="Q10" s="180">
        <v>0</v>
      </c>
      <c r="R10" s="180">
        <v>6</v>
      </c>
      <c r="S10" s="180">
        <v>17</v>
      </c>
      <c r="T10" s="180">
        <v>29</v>
      </c>
      <c r="U10" s="180">
        <v>20</v>
      </c>
      <c r="V10" s="180">
        <v>28</v>
      </c>
      <c r="W10" s="180">
        <v>10</v>
      </c>
      <c r="X10" s="187">
        <v>3</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17</v>
      </c>
      <c r="AZ10" s="129">
        <f t="shared" si="0"/>
        <v>29</v>
      </c>
      <c r="BA10" s="129">
        <f t="shared" si="0"/>
        <v>20</v>
      </c>
      <c r="BB10" s="129">
        <f t="shared" si="0"/>
        <v>28</v>
      </c>
      <c r="BC10" s="125">
        <f t="shared" si="0"/>
        <v>10</v>
      </c>
      <c r="BD10" s="126">
        <f>IF(ISNUMBER(BA10/AZ10),BA10/AZ10," - ")</f>
        <v>0.68965517241379315</v>
      </c>
      <c r="BE10" s="127">
        <f>IF(ISNUMBER(BB10/BA10),BB10/BA10, " - ")</f>
        <v>1.4</v>
      </c>
      <c r="BF10" s="127">
        <f>IF(ISNUMBER(BC10/BA10),BC10/BA10, " - ")</f>
        <v>0.5</v>
      </c>
      <c r="BG10" s="195">
        <f>IF(ISNUMBER((AY10+AZ10)/BA10),(AY10+AZ10)/BA10," - ")</f>
        <v>2.2999999999999998</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1333</v>
      </c>
      <c r="J12" s="182">
        <v>1622</v>
      </c>
      <c r="K12" s="182">
        <v>1711</v>
      </c>
      <c r="L12" s="182">
        <v>1301</v>
      </c>
      <c r="M12" s="182">
        <v>440</v>
      </c>
      <c r="N12" s="182">
        <v>745</v>
      </c>
      <c r="O12" s="180">
        <v>997</v>
      </c>
      <c r="P12" s="182">
        <v>590</v>
      </c>
      <c r="Q12" s="182">
        <v>831</v>
      </c>
      <c r="R12" s="182">
        <v>1303</v>
      </c>
      <c r="S12" s="182">
        <v>1088</v>
      </c>
      <c r="T12" s="182">
        <v>1677</v>
      </c>
      <c r="U12" s="182">
        <v>1452</v>
      </c>
      <c r="V12" s="182">
        <v>1333</v>
      </c>
      <c r="W12" s="182">
        <v>391</v>
      </c>
      <c r="X12" s="188">
        <v>673</v>
      </c>
      <c r="Y12" s="190">
        <v>133</v>
      </c>
      <c r="Z12" s="180">
        <v>165</v>
      </c>
      <c r="AA12" s="180">
        <v>228</v>
      </c>
      <c r="AB12" s="180">
        <v>70</v>
      </c>
      <c r="AC12" s="182">
        <v>0</v>
      </c>
      <c r="AD12" s="182">
        <v>0</v>
      </c>
      <c r="AE12" s="182">
        <v>0</v>
      </c>
      <c r="AF12" s="188">
        <v>0</v>
      </c>
      <c r="AG12" s="201">
        <v>153</v>
      </c>
      <c r="AH12" s="182">
        <v>229</v>
      </c>
      <c r="AI12" s="182">
        <v>249</v>
      </c>
      <c r="AJ12" s="202">
        <v>133</v>
      </c>
      <c r="AK12" s="181">
        <v>0</v>
      </c>
      <c r="AL12" s="182">
        <v>0</v>
      </c>
      <c r="AM12" s="182">
        <v>0</v>
      </c>
      <c r="AN12" s="188">
        <v>0</v>
      </c>
      <c r="AO12" s="258">
        <v>2</v>
      </c>
      <c r="AP12" s="154">
        <v>2</v>
      </c>
      <c r="AQ12" s="154">
        <v>2</v>
      </c>
      <c r="AR12" s="153">
        <v>2</v>
      </c>
      <c r="AS12" s="339" t="s">
        <v>794</v>
      </c>
      <c r="AT12" s="202"/>
      <c r="AU12" s="201"/>
      <c r="AV12" s="202"/>
      <c r="AW12" s="201"/>
      <c r="AX12" s="202"/>
      <c r="AY12" s="126">
        <f t="shared" si="1"/>
        <v>1241</v>
      </c>
      <c r="AZ12" s="127">
        <f t="shared" si="1"/>
        <v>1906</v>
      </c>
      <c r="BA12" s="127">
        <f t="shared" si="1"/>
        <v>1701</v>
      </c>
      <c r="BB12" s="127">
        <f t="shared" si="1"/>
        <v>1466</v>
      </c>
      <c r="BC12" s="125">
        <f>IF(ISNUMBER(X12),X12," - ")</f>
        <v>673</v>
      </c>
      <c r="BD12" s="126">
        <f t="shared" si="2"/>
        <v>0.89244491080797483</v>
      </c>
      <c r="BE12" s="127">
        <f t="shared" si="3"/>
        <v>0.86184597295708409</v>
      </c>
      <c r="BF12" s="127">
        <f t="shared" si="4"/>
        <v>0.39564961787184011</v>
      </c>
      <c r="BG12" s="195">
        <f t="shared" si="5"/>
        <v>1.8500881834215168</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1361</v>
      </c>
      <c r="J13" s="183">
        <f t="shared" si="6"/>
        <v>1655</v>
      </c>
      <c r="K13" s="183">
        <f t="shared" si="6"/>
        <v>1731</v>
      </c>
      <c r="L13" s="183">
        <f t="shared" si="6"/>
        <v>1342</v>
      </c>
      <c r="M13" s="183">
        <f t="shared" si="6"/>
        <v>448</v>
      </c>
      <c r="N13" s="183">
        <f t="shared" si="6"/>
        <v>751</v>
      </c>
      <c r="O13" s="183">
        <f t="shared" si="6"/>
        <v>1002</v>
      </c>
      <c r="P13" s="183">
        <f t="shared" si="6"/>
        <v>594</v>
      </c>
      <c r="Q13" s="183">
        <f t="shared" si="6"/>
        <v>831</v>
      </c>
      <c r="R13" s="183">
        <f t="shared" si="6"/>
        <v>1309</v>
      </c>
      <c r="S13" s="183">
        <f t="shared" si="6"/>
        <v>1105</v>
      </c>
      <c r="T13" s="183">
        <f t="shared" si="6"/>
        <v>1706</v>
      </c>
      <c r="U13" s="183">
        <f t="shared" si="6"/>
        <v>1472</v>
      </c>
      <c r="V13" s="183">
        <f t="shared" si="6"/>
        <v>1361</v>
      </c>
      <c r="W13" s="183">
        <f t="shared" si="6"/>
        <v>401</v>
      </c>
      <c r="X13" s="183">
        <f t="shared" si="6"/>
        <v>676</v>
      </c>
      <c r="Y13" s="183">
        <f t="shared" si="6"/>
        <v>133</v>
      </c>
      <c r="Z13" s="183">
        <f t="shared" si="6"/>
        <v>165</v>
      </c>
      <c r="AA13" s="183">
        <f t="shared" si="6"/>
        <v>228</v>
      </c>
      <c r="AB13" s="183">
        <f t="shared" si="6"/>
        <v>70</v>
      </c>
      <c r="AC13" s="183">
        <f t="shared" si="6"/>
        <v>0</v>
      </c>
      <c r="AD13" s="183">
        <f t="shared" si="6"/>
        <v>0</v>
      </c>
      <c r="AE13" s="183">
        <f t="shared" si="6"/>
        <v>0</v>
      </c>
      <c r="AF13" s="183">
        <f>SUBTOTAL(9,AF9:AF12)</f>
        <v>0</v>
      </c>
      <c r="AG13" s="183">
        <f t="shared" ref="AG13:AT13" si="7">SUBTOTAL(9,AG8:AG12)</f>
        <v>153</v>
      </c>
      <c r="AH13" s="183">
        <f t="shared" si="7"/>
        <v>229</v>
      </c>
      <c r="AI13" s="183">
        <f t="shared" si="7"/>
        <v>249</v>
      </c>
      <c r="AJ13" s="183">
        <f t="shared" si="7"/>
        <v>133</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1258</v>
      </c>
      <c r="AZ13" s="183">
        <f>SUBTOTAL(9,AZ8:AZ12)</f>
        <v>1935</v>
      </c>
      <c r="BA13" s="183">
        <f>SUBTOTAL(9,BA8:BA12)</f>
        <v>1721</v>
      </c>
      <c r="BB13" s="183">
        <f>SUBTOTAL(9,BB8:BB12)</f>
        <v>1494</v>
      </c>
      <c r="BC13" s="183">
        <f>SUBTOTAL(9,BC8:BC12)</f>
        <v>683</v>
      </c>
      <c r="BD13" s="204">
        <f>IF(ISNUMBER(BA13/AZ13),BA13/AZ13," - ")</f>
        <v>0.88940568475452197</v>
      </c>
      <c r="BE13" s="205">
        <f>IF(ISNUMBER(BB13/BA13),BB13/BA13, " - ")</f>
        <v>0.86809994189424755</v>
      </c>
      <c r="BF13" s="205">
        <f>IF(ISNUMBER(BC13/BA13),BC13/BA13, " - ")</f>
        <v>0.3968622893666473</v>
      </c>
      <c r="BG13" s="206">
        <f>IF(ISNUMBER((AY13+AZ13)/BA13),(AY13+AZ13)/BA13," - ")</f>
        <v>1.8553166763509588</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876</v>
      </c>
      <c r="J16" s="182">
        <v>2058</v>
      </c>
      <c r="K16" s="182">
        <v>1844</v>
      </c>
      <c r="L16" s="182">
        <v>1287</v>
      </c>
      <c r="M16" s="182">
        <v>281</v>
      </c>
      <c r="N16" s="182">
        <v>1009</v>
      </c>
      <c r="O16" s="180">
        <v>15</v>
      </c>
      <c r="P16" s="182">
        <v>78</v>
      </c>
      <c r="Q16" s="182">
        <v>28</v>
      </c>
      <c r="R16" s="182">
        <v>130</v>
      </c>
      <c r="S16" s="182">
        <v>921</v>
      </c>
      <c r="T16" s="182">
        <v>1490</v>
      </c>
      <c r="U16" s="182">
        <v>1468</v>
      </c>
      <c r="V16" s="182">
        <v>876</v>
      </c>
      <c r="W16" s="182">
        <v>271</v>
      </c>
      <c r="X16" s="188">
        <v>869</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921</v>
      </c>
      <c r="AZ16" s="127">
        <f t="shared" si="9"/>
        <v>1490</v>
      </c>
      <c r="BA16" s="127">
        <f t="shared" si="9"/>
        <v>1468</v>
      </c>
      <c r="BB16" s="127">
        <f t="shared" si="9"/>
        <v>876</v>
      </c>
      <c r="BC16" s="125">
        <f>IF(ISNUMBER(W16),W16," - ")</f>
        <v>271</v>
      </c>
      <c r="BD16" s="126">
        <f t="shared" ref="BD16" si="11">IF(ISNUMBER(BA16/AZ16),BA16/AZ16," - ")</f>
        <v>0.9852348993288591</v>
      </c>
      <c r="BE16" s="127">
        <f t="shared" ref="BE16" si="12">IF(ISNUMBER(BB16/BA16),BB16/BA16, " - ")</f>
        <v>0.59673024523160767</v>
      </c>
      <c r="BF16" s="127">
        <f t="shared" ref="BF16" si="13">IF(ISNUMBER(BC16/BA16),BC16/BA16, " - ")</f>
        <v>0.18460490463215259</v>
      </c>
      <c r="BG16" s="195">
        <f t="shared" si="10"/>
        <v>1.6423705722070845</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110</v>
      </c>
      <c r="J17" s="182">
        <v>228</v>
      </c>
      <c r="K17" s="182">
        <v>213</v>
      </c>
      <c r="L17" s="182">
        <v>125</v>
      </c>
      <c r="M17" s="182">
        <v>22</v>
      </c>
      <c r="N17" s="182">
        <v>110</v>
      </c>
      <c r="O17" s="182">
        <v>0</v>
      </c>
      <c r="P17" s="182">
        <v>0</v>
      </c>
      <c r="Q17" s="182">
        <v>0</v>
      </c>
      <c r="R17" s="182">
        <v>4</v>
      </c>
      <c r="S17" s="182">
        <v>102</v>
      </c>
      <c r="T17" s="182">
        <v>250</v>
      </c>
      <c r="U17" s="182">
        <v>259</v>
      </c>
      <c r="V17" s="182">
        <v>110</v>
      </c>
      <c r="W17" s="182">
        <v>27</v>
      </c>
      <c r="X17" s="188">
        <v>104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102</v>
      </c>
      <c r="AZ17" s="129">
        <f t="shared" si="14"/>
        <v>250</v>
      </c>
      <c r="BA17" s="129">
        <f t="shared" si="14"/>
        <v>259</v>
      </c>
      <c r="BB17" s="129">
        <f t="shared" si="14"/>
        <v>110</v>
      </c>
      <c r="BC17" s="125">
        <f>IF(ISNUMBER(W17),W17," - ")</f>
        <v>27</v>
      </c>
      <c r="BD17" s="126">
        <f>IF(ISNUMBER(BA17/AZ17),BA17/AZ17," - ")</f>
        <v>1.036</v>
      </c>
      <c r="BE17" s="127">
        <f>IF(ISNUMBER(BB17/BA17),BB17/BA17, " - ")</f>
        <v>0.42471042471042469</v>
      </c>
      <c r="BF17" s="127">
        <f>IF(ISNUMBER(BC17/BA17),BC17/BA17, " - ")</f>
        <v>0.10424710424710425</v>
      </c>
      <c r="BG17" s="195">
        <f>IF(ISNUMBER((AY17+AZ17)/BA17),(AY17+AZ17)/BA17," - ")</f>
        <v>1.359073359073359</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986</v>
      </c>
      <c r="J18" s="183">
        <f t="shared" si="15"/>
        <v>2286</v>
      </c>
      <c r="K18" s="183">
        <f t="shared" si="15"/>
        <v>2057</v>
      </c>
      <c r="L18" s="183">
        <f t="shared" si="15"/>
        <v>1412</v>
      </c>
      <c r="M18" s="183">
        <f t="shared" si="15"/>
        <v>303</v>
      </c>
      <c r="N18" s="183">
        <f t="shared" si="15"/>
        <v>1119</v>
      </c>
      <c r="O18" s="183">
        <f t="shared" si="15"/>
        <v>15</v>
      </c>
      <c r="P18" s="183">
        <f t="shared" si="15"/>
        <v>78</v>
      </c>
      <c r="Q18" s="183">
        <f t="shared" si="15"/>
        <v>28</v>
      </c>
      <c r="R18" s="183">
        <f t="shared" si="15"/>
        <v>134</v>
      </c>
      <c r="S18" s="183">
        <f t="shared" si="15"/>
        <v>1023</v>
      </c>
      <c r="T18" s="183">
        <f t="shared" si="15"/>
        <v>1740</v>
      </c>
      <c r="U18" s="183">
        <f t="shared" si="15"/>
        <v>1727</v>
      </c>
      <c r="V18" s="183">
        <f t="shared" si="15"/>
        <v>986</v>
      </c>
      <c r="W18" s="183">
        <f t="shared" si="15"/>
        <v>298</v>
      </c>
      <c r="X18" s="183">
        <f t="shared" si="15"/>
        <v>973</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1023</v>
      </c>
      <c r="AZ18" s="183">
        <f>SUBTOTAL(9,AZ14:AZ17)</f>
        <v>1740</v>
      </c>
      <c r="BA18" s="183">
        <f>SUBTOTAL(9,BA14:BA17)</f>
        <v>1727</v>
      </c>
      <c r="BB18" s="183">
        <f>SUBTOTAL(9,BB14:BB17)</f>
        <v>986</v>
      </c>
      <c r="BC18" s="183">
        <f>SUBTOTAL(9,BC14:BC17)</f>
        <v>298</v>
      </c>
      <c r="BD18" s="204">
        <f>IF(ISNUMBER(BA18/AZ18),BA18/AZ18," - ")</f>
        <v>0.99252873563218391</v>
      </c>
      <c r="BE18" s="205">
        <f>IF(ISNUMBER(BB18/BA18),BB18/BA18, " - ")</f>
        <v>0.57093225246091484</v>
      </c>
      <c r="BF18" s="205">
        <f>IF(ISNUMBER(BC18/BA18),BC18/BA18, " - ")</f>
        <v>0.17255356108859293</v>
      </c>
      <c r="BG18" s="206">
        <f>IF(ISNUMBER((AY18+AZ18)/BA18),(AY18+AZ18)/BA18," - ")</f>
        <v>1.5998841922408802</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2347</v>
      </c>
      <c r="J19" s="134">
        <f t="shared" si="18"/>
        <v>3941</v>
      </c>
      <c r="K19" s="134">
        <f t="shared" si="18"/>
        <v>3788</v>
      </c>
      <c r="L19" s="134">
        <f t="shared" si="18"/>
        <v>2754</v>
      </c>
      <c r="M19" s="134">
        <f t="shared" si="18"/>
        <v>751</v>
      </c>
      <c r="N19" s="134">
        <f t="shared" si="18"/>
        <v>1870</v>
      </c>
      <c r="O19" s="134">
        <f t="shared" si="18"/>
        <v>1017</v>
      </c>
      <c r="P19" s="134">
        <f t="shared" si="18"/>
        <v>672</v>
      </c>
      <c r="Q19" s="134">
        <f t="shared" si="18"/>
        <v>859</v>
      </c>
      <c r="R19" s="134">
        <f t="shared" si="18"/>
        <v>1443</v>
      </c>
      <c r="S19" s="134">
        <f t="shared" si="18"/>
        <v>2128</v>
      </c>
      <c r="T19" s="134">
        <f t="shared" si="18"/>
        <v>3446</v>
      </c>
      <c r="U19" s="134">
        <f t="shared" si="18"/>
        <v>3199</v>
      </c>
      <c r="V19" s="134">
        <f t="shared" si="18"/>
        <v>2347</v>
      </c>
      <c r="W19" s="134">
        <f t="shared" si="18"/>
        <v>699</v>
      </c>
      <c r="X19" s="134">
        <f t="shared" si="18"/>
        <v>1649</v>
      </c>
      <c r="Y19" s="134">
        <f t="shared" si="18"/>
        <v>133</v>
      </c>
      <c r="Z19" s="134">
        <f t="shared" si="18"/>
        <v>165</v>
      </c>
      <c r="AA19" s="134">
        <f t="shared" si="18"/>
        <v>228</v>
      </c>
      <c r="AB19" s="134">
        <f t="shared" si="18"/>
        <v>70</v>
      </c>
      <c r="AC19" s="134">
        <f t="shared" si="18"/>
        <v>0</v>
      </c>
      <c r="AD19" s="134">
        <f t="shared" si="18"/>
        <v>0</v>
      </c>
      <c r="AE19" s="134">
        <f t="shared" si="18"/>
        <v>0</v>
      </c>
      <c r="AF19" s="134">
        <f t="shared" si="18"/>
        <v>0</v>
      </c>
      <c r="AG19" s="134">
        <f t="shared" si="18"/>
        <v>153</v>
      </c>
      <c r="AH19" s="134">
        <f t="shared" si="18"/>
        <v>229</v>
      </c>
      <c r="AI19" s="134">
        <f t="shared" si="18"/>
        <v>249</v>
      </c>
      <c r="AJ19" s="134">
        <f t="shared" si="18"/>
        <v>133</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2281</v>
      </c>
      <c r="AZ19" s="134">
        <f>SUBTOTAL(9,AZ9:AZ18)</f>
        <v>3675</v>
      </c>
      <c r="BA19" s="134">
        <f>SUBTOTAL(9,BA9:BA18)</f>
        <v>3448</v>
      </c>
      <c r="BB19" s="134">
        <f>SUBTOTAL(9,BB9:BB18)</f>
        <v>2480</v>
      </c>
      <c r="BC19" s="135">
        <f>SUBTOTAL(9,BC9:BC18)</f>
        <v>981</v>
      </c>
      <c r="BD19" s="212">
        <f>IF(ISNUMBER(BA19/AZ19),BA19/AZ19," - ")</f>
        <v>0.93823129251700677</v>
      </c>
      <c r="BE19" s="209">
        <f>IF(ISNUMBER(BB19/BA19),BB19/BA19, " - ")</f>
        <v>0.71925754060324831</v>
      </c>
      <c r="BF19" s="209">
        <f>IF(ISNUMBER(BC19/BA19),BC19/BA19, " - ")</f>
        <v>0.28451276102088169</v>
      </c>
      <c r="BG19" s="135">
        <f>IF(ISNUMBER((AY19+AZ19)/BA19),(AY19+AZ19)/BA19," - ")</f>
        <v>1.7273781902552203</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7H7CoDUMAorNR40yK+ULCiOVSH9miFQXCKtTI4HmjFWCeFKaWZ/XnJUomMMHgclaDh8Z+No4deTNi2MjW56xnw==" saltValue="MzE7ZzSD5cSSrJG6Ezi6M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03wy331G6twEJSF4QhqYxCt9TGW2jt6umeGycku65Eh3beeflrQQe9YWxmTugpL0kEk8jEZh4eRFEHmlb8lmyw==" saltValue="dhY7IODWJ9KhTReYuInuP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GRANADA  Resumenes por Partidos Judiciales  GUADIX</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28</v>
      </c>
      <c r="G10" s="332">
        <f>IF(ISNUMBER(Datos!I10),Datos!I10," - ")</f>
        <v>28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4</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20</v>
      </c>
      <c r="AC10" s="225">
        <f>IF(ISNUMBER(Datos!Q10),Datos!Q10," - ")</f>
        <v>0</v>
      </c>
      <c r="AD10" s="333"/>
      <c r="AE10" s="483"/>
      <c r="AF10" s="331">
        <f>IF(ISNUMBER(Datos!L10),Datos!L10,"-")</f>
        <v>41</v>
      </c>
      <c r="AG10" s="333"/>
      <c r="AH10" s="333"/>
      <c r="AI10" s="333"/>
      <c r="AJ10" s="333"/>
      <c r="AK10" s="333"/>
      <c r="AL10" s="478"/>
      <c r="AM10" s="334">
        <f>IF(ISNUMBER(Datos!R10),Datos!R10," - ")</f>
        <v>6</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8</v>
      </c>
      <c r="BD10" s="228">
        <f>IF(ISNUMBER(Datos!N10),Datos!N10," - ")</f>
        <v>6</v>
      </c>
      <c r="BE10" s="228" t="str">
        <f>IF(ISNUMBER(Datos!BW10),Datos!BW10," - ")</f>
        <v xml:space="preserve"> - </v>
      </c>
      <c r="BF10" s="227" t="str">
        <f>IF(ISNUMBER(Datos!BX10),Datos!BX10," - ")</f>
        <v xml:space="preserve"> - </v>
      </c>
      <c r="BG10" s="242">
        <f>IF(ISNUMBER(Datos!K10/Datos!J10),Datos!K10/Datos!J10," - ")</f>
        <v>0.60606060606060608</v>
      </c>
      <c r="BH10" s="259">
        <f>IF(ISNUMBER(((Datos!L10/Datos!K10)*11)/factor_trimestre),((Datos!L10/Datos!K10)*11)/factor_trimestre," - ")</f>
        <v>22.549999999999997</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165</v>
      </c>
      <c r="O12" s="333"/>
      <c r="P12" s="333"/>
      <c r="Q12" s="225">
        <f>IF(ISNUMBER(Datos!P12),Datos!P12,0)</f>
        <v>590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831</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70</v>
      </c>
      <c r="AI12" s="333" t="str">
        <f>IF(ISNUMBER(Datos!CD12),Datos!CD12,"-")</f>
        <v>-</v>
      </c>
      <c r="AJ12" s="333" t="str">
        <f>IF(ISNUMBER(Datos!EN12),Datos!EN12," - ")</f>
        <v xml:space="preserve"> - </v>
      </c>
      <c r="AK12" s="333"/>
      <c r="AL12" s="478"/>
      <c r="AM12" s="334">
        <f>IF(ISNUMBER(Datos!R12),Datos!R12," - ")</f>
        <v>1303</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440</v>
      </c>
      <c r="BD12" s="228">
        <f>IF(ISNUMBER(Datos!N12),Datos!N12," - ")</f>
        <v>745</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1.0850587576944599</v>
      </c>
      <c r="BH12" s="259">
        <f>IF(ISNUMBER(((IF(J_V="SI",Datos!L12/Datos!K12,(Datos!L12+Datos!AB12)/(Datos!K12+Datos!AA12)))*11)/factor_trimestre),((IF(J_V="SI",Datos!L12/Datos!K12,(Datos!L12+Datos!AB12)/(Datos!K12+Datos!AA12)))*11)/factor_trimestre," - ")</f>
        <v>7.7777204744713773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-0.1560880829015544</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2</v>
      </c>
      <c r="F13" s="897">
        <f t="shared" si="0"/>
        <v>28</v>
      </c>
      <c r="G13" s="897">
        <f t="shared" si="0"/>
        <v>28</v>
      </c>
      <c r="H13" s="898">
        <f t="shared" si="0"/>
        <v>0</v>
      </c>
      <c r="I13" s="897">
        <f t="shared" si="0"/>
        <v>0</v>
      </c>
      <c r="J13" s="866">
        <f t="shared" si="0"/>
        <v>0</v>
      </c>
      <c r="K13" s="866">
        <f t="shared" si="0"/>
        <v>0</v>
      </c>
      <c r="L13" s="898">
        <f t="shared" si="0"/>
        <v>0</v>
      </c>
      <c r="M13" s="898">
        <f t="shared" si="0"/>
        <v>0</v>
      </c>
      <c r="N13" s="898">
        <f t="shared" si="0"/>
        <v>165</v>
      </c>
      <c r="O13" s="899">
        <f t="shared" si="0"/>
        <v>0</v>
      </c>
      <c r="P13" s="899">
        <f t="shared" si="0"/>
        <v>0</v>
      </c>
      <c r="Q13" s="898">
        <f t="shared" si="0"/>
        <v>594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20</v>
      </c>
      <c r="AC13" s="898">
        <f t="shared" si="1"/>
        <v>831</v>
      </c>
      <c r="AD13" s="898">
        <f t="shared" si="1"/>
        <v>0</v>
      </c>
      <c r="AE13" s="898">
        <f t="shared" si="1"/>
        <v>0</v>
      </c>
      <c r="AF13" s="898">
        <f t="shared" si="1"/>
        <v>41</v>
      </c>
      <c r="AG13" s="898">
        <f t="shared" si="1"/>
        <v>0</v>
      </c>
      <c r="AH13" s="898">
        <f t="shared" si="1"/>
        <v>70</v>
      </c>
      <c r="AI13" s="898">
        <f t="shared" si="1"/>
        <v>0</v>
      </c>
      <c r="AJ13" s="898">
        <f t="shared" si="1"/>
        <v>0</v>
      </c>
      <c r="AK13" s="898">
        <f t="shared" si="1"/>
        <v>0</v>
      </c>
      <c r="AL13" s="898">
        <f t="shared" si="1"/>
        <v>0</v>
      </c>
      <c r="AM13" s="898">
        <f t="shared" si="1"/>
        <v>1309</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448</v>
      </c>
      <c r="BD13" s="898">
        <f t="shared" si="1"/>
        <v>751</v>
      </c>
      <c r="BE13" s="898">
        <f t="shared" si="1"/>
        <v>0</v>
      </c>
      <c r="BF13" s="898">
        <f t="shared" si="1"/>
        <v>0</v>
      </c>
      <c r="BG13" s="898">
        <f>IF(ISNUMBER(Datos!K13/Datos!J13),Datos!K13/Datos!J13," - ")</f>
        <v>1.0459214501510574</v>
      </c>
      <c r="BH13" s="902">
        <f>IF(ISNUMBER(((Datos!L13/Datos!K13)*11)/factor_trimestre),((Datos!L13/Datos!K13)*11)/factor_trimestre," - ")</f>
        <v>8.5280184864240312</v>
      </c>
      <c r="BI13" s="898">
        <f>IF(ISNUMBER('Resol  Asuntos'!D13/NºAsuntos!G13),'Resol  Asuntos'!D13/NºAsuntos!G13," - ")</f>
        <v>0.22868810617662072</v>
      </c>
      <c r="BJ13" s="898" t="str">
        <f>IF(ISNUMBER(Datos!CI13/Datos!CJ13),Datos!CI13/Datos!CJ13," - ")</f>
        <v xml:space="preserve"> - </v>
      </c>
      <c r="BK13" s="898">
        <f>SUBTOTAL(9,BK8:BK12)</f>
        <v>0</v>
      </c>
      <c r="BL13" s="898">
        <f>IF(ISNUMBER((I13-AB13+L13)/(F13)),(I13-AB13+L13)/(F13)," - ")</f>
        <v>-0.7142857142857143</v>
      </c>
      <c r="BM13" s="903">
        <f>SUBTOTAL(9,BM9:BM12)</f>
        <v>1.8439119170984455</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1073</v>
      </c>
      <c r="G16" s="597">
        <f>IF(ISNUMBER(IF(D_I="SI",Datos!I16,Datos!I16+Datos!AC16)),IF(D_I="SI",Datos!I16,Datos!I16+Datos!AC16)," - ")</f>
        <v>876</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78</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1844</v>
      </c>
      <c r="AC16" s="225">
        <f>IF(ISNUMBER(Datos!Q16),Datos!Q16," - ")</f>
        <v>28</v>
      </c>
      <c r="AD16" s="333"/>
      <c r="AE16" s="483"/>
      <c r="AF16" s="595">
        <f>IF(ISNUMBER(IF(D_I="SI",Datos!L16,Datos!L16+Datos!AF16)),IF(D_I="SI",Datos!L16,Datos!L16+Datos!AF16)," - ")</f>
        <v>1287</v>
      </c>
      <c r="AG16" s="333"/>
      <c r="AH16" s="333"/>
      <c r="AI16" s="333"/>
      <c r="AJ16" s="333"/>
      <c r="AK16" s="333"/>
      <c r="AL16" s="478"/>
      <c r="AM16" s="334">
        <f>IF(ISNUMBER(Datos!R16),Datos!R16," - ")</f>
        <v>130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281</v>
      </c>
      <c r="BD16" s="228">
        <f>IF(ISNUMBER(Datos!N16),Datos!N16," - ")</f>
        <v>1009</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0.89601554907677361</v>
      </c>
      <c r="BH16" s="259">
        <f>IF(ISNUMBER(((IF(D_I="SI",Datos!L16/Datos!K16,(Datos!L16+Datos!AF16)/(Datos!K16+Datos!AE16)))*11)/factor_trimestre),((IF(D_I="SI",Datos!L16/Datos!K16,(Datos!L16+Datos!AF16)/(Datos!K16+Datos!AE16)))*11)/factor_trimestre," - ")</f>
        <v>7.6773318872017358</v>
      </c>
      <c r="BI16" s="242">
        <f>IF(ISNUMBER('Resol  Asuntos'!D16/NºAsuntos!G16),'Resol  Asuntos'!D16/NºAsuntos!G16," - ")</f>
        <v>0.15238611713665945</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110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213</v>
      </c>
      <c r="AC17" s="225">
        <f>IF(ISNUMBER(Datos!Q17),Datos!Q17," - ")</f>
        <v>0</v>
      </c>
      <c r="AD17" s="333"/>
      <c r="AE17" s="483"/>
      <c r="AF17" s="331">
        <f>IF(ISNUMBER(Datos!L17),Datos!L17,"-")</f>
        <v>125</v>
      </c>
      <c r="AG17" s="333"/>
      <c r="AH17" s="333"/>
      <c r="AI17" s="333"/>
      <c r="AJ17" s="333"/>
      <c r="AK17" s="333"/>
      <c r="AL17" s="478"/>
      <c r="AM17" s="334">
        <f>IF(ISNUMBER(Datos!R17),Datos!R17," - ")</f>
        <v>4</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22</v>
      </c>
      <c r="BD17" s="228">
        <f>IF(ISNUMBER(Datos!N17),Datos!N17," - ")</f>
        <v>110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0.93421052631578949</v>
      </c>
      <c r="BH17" s="259">
        <f>IF(ISNUMBER(((IF(D_I="SI",Datos!L17/Datos!K17,(Datos!L17+Datos!AF17)/(Datos!K17+Datos!AE17)))*11)/factor_trimestre),((IF(D_I="SI",Datos!L17/Datos!K17,(Datos!L17+Datos!AF17)/(Datos!K17+Datos!AE17)))*11)/factor_trimestre," - ")</f>
        <v>6.455399061032864</v>
      </c>
      <c r="BI17" s="242">
        <f>IF(ISNUMBER('Resol  Asuntos'!D17/NºAsuntos!G17),'Resol  Asuntos'!D17/NºAsuntos!G17," - ")</f>
        <v>0.10328638497652583</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2</v>
      </c>
      <c r="F18" s="897">
        <f>SUBTOTAL(9,F15:F17)</f>
        <v>1073</v>
      </c>
      <c r="G18" s="897">
        <f>SUBTOTAL(9,G15:G17)</f>
        <v>986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78</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2057</v>
      </c>
      <c r="AC18" s="898">
        <f t="shared" si="4"/>
        <v>28</v>
      </c>
      <c r="AD18" s="898">
        <f t="shared" si="4"/>
        <v>0</v>
      </c>
      <c r="AE18" s="898">
        <f t="shared" si="4"/>
        <v>0</v>
      </c>
      <c r="AF18" s="898">
        <f t="shared" si="4"/>
        <v>1412</v>
      </c>
      <c r="AG18" s="898">
        <f t="shared" si="4"/>
        <v>0</v>
      </c>
      <c r="AH18" s="898">
        <f t="shared" si="4"/>
        <v>0</v>
      </c>
      <c r="AI18" s="898">
        <f t="shared" si="4"/>
        <v>0</v>
      </c>
      <c r="AJ18" s="898">
        <f t="shared" si="4"/>
        <v>0</v>
      </c>
      <c r="AK18" s="898">
        <f t="shared" si="4"/>
        <v>0</v>
      </c>
      <c r="AL18" s="898">
        <f t="shared" si="4"/>
        <v>0</v>
      </c>
      <c r="AM18" s="898">
        <f t="shared" si="4"/>
        <v>134</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303</v>
      </c>
      <c r="BD18" s="898">
        <f t="shared" si="4"/>
        <v>1119</v>
      </c>
      <c r="BE18" s="898">
        <f t="shared" si="4"/>
        <v>0</v>
      </c>
      <c r="BF18" s="898">
        <f t="shared" si="4"/>
        <v>0</v>
      </c>
      <c r="BG18" s="898">
        <f>IF(ISNUMBER(Datos!K18/Datos!J18),Datos!K18/Datos!J18," - ")</f>
        <v>0.89982502187226598</v>
      </c>
      <c r="BH18" s="902">
        <f>IF(ISNUMBER(((Datos!L18/Datos!K18)*11)/factor_trimestre),((Datos!L18/Datos!K18)*11)/factor_trimestre," - ")</f>
        <v>7.5508021390374331</v>
      </c>
      <c r="BI18" s="898">
        <f>SUBTOTAL(9,BI15:BI17)</f>
        <v>0.25567250211318526</v>
      </c>
      <c r="BJ18" s="898">
        <f>SUBTOTAL(9,BJ15:BJ17)</f>
        <v>0</v>
      </c>
      <c r="BK18" s="898">
        <f>SUBTOTAL(9,BK15:BK17)</f>
        <v>0</v>
      </c>
      <c r="BL18" s="898">
        <f>IF(ISNUMBER((I18-AB18+L18)/(F18)),(I18-AB18+L18)/(F18)," - ")</f>
        <v>-1.9170549860205033</v>
      </c>
      <c r="BM18" s="904">
        <f>IF(ISNUMBER((Datos!P18-Datos!Q18)/(Datos!R18-Datos!P18+Datos!Q18)),(Datos!P18-Datos!Q18)/(Datos!R18-Datos!P18+Datos!Q18)," - ")</f>
        <v>0.59523809523809523</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4</v>
      </c>
      <c r="F19" s="819">
        <f t="shared" si="6"/>
        <v>1101</v>
      </c>
      <c r="G19" s="819">
        <f t="shared" si="6"/>
        <v>1014</v>
      </c>
      <c r="H19" s="821">
        <f t="shared" si="6"/>
        <v>0</v>
      </c>
      <c r="I19" s="819">
        <f t="shared" si="6"/>
        <v>0</v>
      </c>
      <c r="J19" s="821">
        <f t="shared" si="6"/>
        <v>0</v>
      </c>
      <c r="K19" s="821">
        <f t="shared" si="6"/>
        <v>0</v>
      </c>
      <c r="L19" s="880">
        <f t="shared" si="6"/>
        <v>0</v>
      </c>
      <c r="M19" s="880">
        <f t="shared" si="6"/>
        <v>0</v>
      </c>
      <c r="N19" s="880">
        <f t="shared" si="6"/>
        <v>165</v>
      </c>
      <c r="O19" s="880">
        <f t="shared" si="6"/>
        <v>0</v>
      </c>
      <c r="P19" s="880">
        <f t="shared" si="6"/>
        <v>0</v>
      </c>
      <c r="Q19" s="821">
        <f t="shared" si="6"/>
        <v>672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2077</v>
      </c>
      <c r="AC19" s="820">
        <f t="shared" si="7"/>
        <v>859</v>
      </c>
      <c r="AD19" s="820">
        <f t="shared" si="7"/>
        <v>0</v>
      </c>
      <c r="AE19" s="820">
        <f t="shared" si="7"/>
        <v>0</v>
      </c>
      <c r="AF19" s="827">
        <f t="shared" si="7"/>
        <v>1453</v>
      </c>
      <c r="AG19" s="827">
        <f t="shared" si="7"/>
        <v>0</v>
      </c>
      <c r="AH19" s="827">
        <f t="shared" si="7"/>
        <v>70</v>
      </c>
      <c r="AI19" s="827">
        <f t="shared" si="7"/>
        <v>0</v>
      </c>
      <c r="AJ19" s="820">
        <f t="shared" si="7"/>
        <v>0</v>
      </c>
      <c r="AK19" s="827">
        <f t="shared" si="7"/>
        <v>0</v>
      </c>
      <c r="AL19" s="827">
        <f t="shared" si="7"/>
        <v>0</v>
      </c>
      <c r="AM19" s="827">
        <f t="shared" si="7"/>
        <v>1443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751</v>
      </c>
      <c r="BD19" s="819">
        <f t="shared" si="7"/>
        <v>1870</v>
      </c>
      <c r="BE19" s="819">
        <f t="shared" si="7"/>
        <v>0</v>
      </c>
      <c r="BF19" s="829">
        <f t="shared" si="7"/>
        <v>0</v>
      </c>
      <c r="BG19" s="914">
        <f>IF(ISNUMBER(Datos!K19/Datos!J19),Datos!K19/Datos!J19," - ")</f>
        <v>0.96117736615072313</v>
      </c>
      <c r="BH19" s="914">
        <f>IF(ISNUMBER(((Datos!L19/Datos!K19)*11)/factor_trimestre),((Datos!L19/Datos!K19)*11)/factor_trimestre," - ")</f>
        <v>7.9973600844772967</v>
      </c>
      <c r="BI19" s="812">
        <f>IF(ISNUMBER(Datos!J19/Datos!I19),Datos!J19/Datos!I19," - ")</f>
        <v>1.6791648913506605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-1.8864668483197093</v>
      </c>
      <c r="BM19" s="888">
        <f>IF(ISNUMBER((Datos!P19-Datos!Q19+R19)/(Datos!R19-Datos!P19+Datos!Q19-R19)),(Datos!P19-Datos!Q19+R19)/(Datos!R19-Datos!P19+Datos!Q19-R19)," - ")</f>
        <v>-0.1147239263803681</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405.6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603.33103130315885</v>
      </c>
      <c r="G21" s="551">
        <f>IF(ISNUMBER(STDEV(G8:G18)),STDEV(G8:G18),"-")</f>
        <v>482.35961688350318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1027.9361361485448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194.74153811312743</v>
      </c>
      <c r="BD21" s="550"/>
      <c r="BE21" s="550">
        <f>IF(ISNUMBER(STDEV(BE8:BE18)),STDEV(BE8:BE18),"-")</f>
        <v>0</v>
      </c>
      <c r="BF21" s="555">
        <f>IF(ISNUMBER(STDEV(BF8:BF18)),STDEV(BF8:BF18),"-")</f>
        <v>0</v>
      </c>
      <c r="BG21" s="774">
        <f>IF(ISNUMBER(STDEV(BG8:BG18)),STDEV(BG8:BG18),"-")</f>
        <v>0.16874609716550076</v>
      </c>
      <c r="BH21" s="775">
        <f>IF(ISNUMBER(STDEV(BH8:BH18)),STDEV(BH8:BH18),"-")</f>
        <v>6.1403068319064333</v>
      </c>
      <c r="BI21" s="248">
        <f>IF(ISNUMBER(STDEV(BI8:BI18)),STDEV(BI8:BI18),"-")</f>
        <v>6.9866618490261906E-2</v>
      </c>
      <c r="BJ21" s="229" t="str">
        <f>IF(ISNUMBER(BL21/BM21),BL21/BM21," - ")</f>
        <v xml:space="preserve"> - </v>
      </c>
      <c r="BK21" s="574"/>
      <c r="BL21" s="558">
        <f>IF(ISNUMBER(STDEV(BL8:BL18)),STDEV(BL8:BL18),"-")</f>
        <v>0.85048630824647475</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Bkw6Czobfsf/G9OUO3+D6PsyQuSqSBH0q5cERClgUwarfJJRl6CRD3ZM6jpTmUm9246LgFkDimDSslrhjTm2Xg==" saltValue="Htzj2zg757kt2UZBxm1Li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GRANADA  Resumenes por Partidos Judiciales  GUADIX</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28</v>
      </c>
      <c r="G10" s="224">
        <f>IF(ISNUMBER(Datos!I10),Datos!I10," - ")</f>
        <v>28</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4</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20</v>
      </c>
      <c r="Z10" s="618">
        <f>IF(ISNUMBER(Datos!Q10),Datos!Q10," - ")</f>
        <v>0</v>
      </c>
      <c r="AA10" s="331">
        <f>IF(ISNUMBER(Datos!L10),Datos!L10,"-")</f>
        <v>41</v>
      </c>
      <c r="AB10" s="333"/>
      <c r="AC10" s="333"/>
      <c r="AD10" s="483"/>
      <c r="AE10" s="483">
        <f>IF(ISNUMBER(Datos!R10),Datos!R10," - ")</f>
        <v>6</v>
      </c>
      <c r="AF10" s="228" t="str">
        <f>IF(ISNUMBER(Datos!BV10),Datos!BV10," - ")</f>
        <v xml:space="preserve"> - </v>
      </c>
      <c r="AG10" s="224" t="str">
        <f>IF(ISNUMBER(Datos!DV10),Datos!DV10," - ")</f>
        <v xml:space="preserve"> - </v>
      </c>
      <c r="AH10" s="297"/>
      <c r="AI10" s="226"/>
      <c r="AJ10" s="224">
        <f>IF(ISNUMBER(Datos!M10),Datos!M10," - ")</f>
        <v>8</v>
      </c>
      <c r="AK10" s="228">
        <f>IF(ISNUMBER(Datos!N10),Datos!N10," - ")</f>
        <v>6</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22.549999999999997</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590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831</v>
      </c>
      <c r="AA12" s="331" t="str">
        <f>IF(ISNUMBER(IF(J_V="SI",Datos!L12,Datos!L12+Datos!AB12)-IF(Monitorios="SI",Datos!CD12,0)),
                          IF(J_V="SI",Datos!L12,Datos!L12+Datos!AB12)-IF(Monitorios="SI",Datos!CD12,0),
                          " - ")</f>
        <v xml:space="preserve"> - </v>
      </c>
      <c r="AB12" s="333"/>
      <c r="AC12" s="333"/>
      <c r="AD12" s="483"/>
      <c r="AE12" s="483">
        <f>IF(ISNUMBER(Datos!R12),Datos!R12," - ")</f>
        <v>1303</v>
      </c>
      <c r="AF12" s="228" t="str">
        <f>IF(ISNUMBER(Datos!BV12),Datos!BV12," - ")</f>
        <v xml:space="preserve"> - </v>
      </c>
      <c r="AG12" s="224" t="str">
        <f>IF(ISNUMBER(Datos!DV12),Datos!DV12," - ")</f>
        <v xml:space="preserve"> - </v>
      </c>
      <c r="AH12" s="297"/>
      <c r="AI12" s="226"/>
      <c r="AJ12" s="224">
        <f>IF(ISNUMBER(Datos!M12),Datos!M12," - ")</f>
        <v>440</v>
      </c>
      <c r="AK12" s="228">
        <f>IF(ISNUMBER(Datos!N12),Datos!N12," - ")</f>
        <v>745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7.7777204744713773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-0.1560880829015544</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2</v>
      </c>
      <c r="F13" s="897">
        <f>SUBTOTAL(9,F8:F12)</f>
        <v>28</v>
      </c>
      <c r="G13" s="897">
        <f>SUBTOTAL(9,G8:G12)</f>
        <v>28</v>
      </c>
      <c r="H13" s="907"/>
      <c r="I13" s="897">
        <f t="shared" ref="I13:N13" si="0">SUBTOTAL(9,I8:I12)</f>
        <v>0</v>
      </c>
      <c r="J13" s="866">
        <f t="shared" si="0"/>
        <v>0</v>
      </c>
      <c r="K13" s="907">
        <f t="shared" si="0"/>
        <v>0</v>
      </c>
      <c r="L13" s="907">
        <f t="shared" si="0"/>
        <v>0</v>
      </c>
      <c r="M13" s="907">
        <f t="shared" si="0"/>
        <v>0</v>
      </c>
      <c r="N13" s="907">
        <f t="shared" si="0"/>
        <v>594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20</v>
      </c>
      <c r="Z13" s="906">
        <f t="shared" si="2"/>
        <v>831</v>
      </c>
      <c r="AA13" s="899">
        <f t="shared" si="2"/>
        <v>41</v>
      </c>
      <c r="AB13" s="899">
        <f t="shared" si="2"/>
        <v>0</v>
      </c>
      <c r="AC13" s="899">
        <f t="shared" si="2"/>
        <v>0</v>
      </c>
      <c r="AD13" s="899">
        <f t="shared" si="2"/>
        <v>0</v>
      </c>
      <c r="AE13" s="899">
        <f t="shared" si="2"/>
        <v>1309</v>
      </c>
      <c r="AF13" s="907">
        <f t="shared" si="2"/>
        <v>0</v>
      </c>
      <c r="AG13" s="907">
        <f t="shared" si="2"/>
        <v>0</v>
      </c>
      <c r="AH13" s="907">
        <f t="shared" si="2"/>
        <v>0</v>
      </c>
      <c r="AI13" s="907">
        <f t="shared" si="2"/>
        <v>0</v>
      </c>
      <c r="AJ13" s="907">
        <f t="shared" si="2"/>
        <v>448</v>
      </c>
      <c r="AK13" s="907">
        <f t="shared" si="2"/>
        <v>751</v>
      </c>
      <c r="AL13" s="907">
        <f t="shared" si="2"/>
        <v>0</v>
      </c>
      <c r="AM13" s="907">
        <f t="shared" si="2"/>
        <v>0</v>
      </c>
      <c r="AN13" s="907">
        <f t="shared" si="2"/>
        <v>0</v>
      </c>
      <c r="AO13" s="903">
        <f>IF(ISNUMBER(((NºAsuntos!I13/NºAsuntos!G13)*11)/factor_trimestre),((NºAsuntos!I13/NºAsuntos!G13)*11)/factor_trimestre," - ")</f>
        <v>7.9285349668198055</v>
      </c>
      <c r="AP13" s="909" t="str">
        <f>IF(ISNUMBER(Datos!CI13/Datos!CJ13),Datos!CI13/Datos!CJ13," - ")</f>
        <v xml:space="preserve"> - </v>
      </c>
      <c r="AQ13" s="927">
        <f t="shared" ref="AQ13:AV13" si="3">SUBTOTAL(9,AQ9:AQ12)</f>
        <v>0</v>
      </c>
      <c r="AR13" s="927">
        <f t="shared" si="3"/>
        <v>1.8439119170984455</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1073</v>
      </c>
      <c r="G16" s="224">
        <f>IF(ISNUMBER(IF(D_I="SI",Datos!I16,Datos!I16+Datos!AC16)),IF(D_I="SI",Datos!I16,Datos!I16+Datos!AC16)," - ")</f>
        <v>876</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78</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1844</v>
      </c>
      <c r="Z16" s="618">
        <f>IF(ISNUMBER(Datos!Q16),Datos!Q16," - ")</f>
        <v>28</v>
      </c>
      <c r="AA16" s="331">
        <f>IF(ISNUMBER(IF(D_I="SI",Datos!L16,Datos!L16+Datos!AF16)),IF(D_I="SI",Datos!L16,Datos!L16+Datos!AF16)," - ")</f>
        <v>1287</v>
      </c>
      <c r="AB16" s="333"/>
      <c r="AC16" s="333"/>
      <c r="AD16" s="483"/>
      <c r="AE16" s="483">
        <f>IF(ISNUMBER(Datos!R16),Datos!R16," - ")</f>
        <v>130</v>
      </c>
      <c r="AF16" s="228" t="str">
        <f>IF(ISNUMBER(Datos!BV16),Datos!BV16," - ")</f>
        <v xml:space="preserve"> - </v>
      </c>
      <c r="AG16" s="224"/>
      <c r="AH16" s="297"/>
      <c r="AI16" s="226"/>
      <c r="AJ16" s="224">
        <f>IF(ISNUMBER(Datos!M16),Datos!M16," - ")</f>
        <v>281</v>
      </c>
      <c r="AK16" s="228">
        <f>IF(ISNUMBER(Datos!N16),Datos!N16," - ")</f>
        <v>1009</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7.6773318872017358</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110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213</v>
      </c>
      <c r="Z17" s="618">
        <f>IF(ISNUMBER(Datos!Q17),Datos!Q17," - ")</f>
        <v>0</v>
      </c>
      <c r="AA17" s="331">
        <f>IF(ISNUMBER(Datos!L17),Datos!L17,"-")</f>
        <v>125</v>
      </c>
      <c r="AB17" s="333"/>
      <c r="AC17" s="333"/>
      <c r="AD17" s="483"/>
      <c r="AE17" s="483">
        <f>IF(ISNUMBER(Datos!R17),Datos!R17," - ")</f>
        <v>4</v>
      </c>
      <c r="AF17" s="228" t="str">
        <f>IF(ISNUMBER(Datos!BV17),Datos!BV17," - ")</f>
        <v xml:space="preserve"> - </v>
      </c>
      <c r="AG17" s="224" t="str">
        <f>IF(ISNUMBER(Datos!DV17),Datos!DV17," - ")</f>
        <v xml:space="preserve"> - </v>
      </c>
      <c r="AH17" s="297"/>
      <c r="AI17" s="226"/>
      <c r="AJ17" s="224">
        <f>IF(ISNUMBER(Datos!M17),Datos!M17," - ")</f>
        <v>22</v>
      </c>
      <c r="AK17" s="228">
        <f>IF(ISNUMBER(Datos!N17),Datos!N17," - ")</f>
        <v>110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6.455399061032864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2</v>
      </c>
      <c r="F18" s="897">
        <f>SUBTOTAL(9,F15:F17)</f>
        <v>1073</v>
      </c>
      <c r="G18" s="897">
        <f>SUBTOTAL(9,G15:G17)</f>
        <v>986</v>
      </c>
      <c r="H18" s="931">
        <f>SUBTOTAL(9,H15:H17)</f>
        <v>0</v>
      </c>
      <c r="I18" s="910">
        <f>SUBTOTAL(9,I15:I17)</f>
        <v>0</v>
      </c>
      <c r="J18" s="866">
        <f>SUBTOTAL(9,J14:J17)</f>
        <v>0</v>
      </c>
      <c r="K18" s="931">
        <f t="shared" ref="K18:S18" si="4">SUBTOTAL(9,K15:K17)</f>
        <v>0</v>
      </c>
      <c r="L18" s="931">
        <f t="shared" si="4"/>
        <v>0</v>
      </c>
      <c r="M18" s="931">
        <f t="shared" si="4"/>
        <v>0</v>
      </c>
      <c r="N18" s="931">
        <f t="shared" si="4"/>
        <v>78</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2057</v>
      </c>
      <c r="Z18" s="931">
        <f t="shared" si="5"/>
        <v>28</v>
      </c>
      <c r="AA18" s="931">
        <f t="shared" si="5"/>
        <v>1412</v>
      </c>
      <c r="AB18" s="931">
        <f t="shared" si="5"/>
        <v>0</v>
      </c>
      <c r="AC18" s="931">
        <f t="shared" si="5"/>
        <v>0</v>
      </c>
      <c r="AD18" s="931">
        <f t="shared" si="5"/>
        <v>0</v>
      </c>
      <c r="AE18" s="931">
        <f t="shared" si="5"/>
        <v>134</v>
      </c>
      <c r="AF18" s="931">
        <f t="shared" si="5"/>
        <v>0</v>
      </c>
      <c r="AG18" s="931">
        <f t="shared" si="5"/>
        <v>0</v>
      </c>
      <c r="AH18" s="931">
        <f t="shared" si="5"/>
        <v>0</v>
      </c>
      <c r="AI18" s="931">
        <f t="shared" si="5"/>
        <v>0</v>
      </c>
      <c r="AJ18" s="931">
        <f t="shared" si="5"/>
        <v>303</v>
      </c>
      <c r="AK18" s="931">
        <f t="shared" si="5"/>
        <v>1119</v>
      </c>
      <c r="AL18" s="931">
        <f t="shared" si="5"/>
        <v>0</v>
      </c>
      <c r="AM18" s="931">
        <f t="shared" si="5"/>
        <v>0</v>
      </c>
      <c r="AN18" s="931">
        <f t="shared" si="5"/>
        <v>0</v>
      </c>
      <c r="AO18" s="933">
        <f>IF(ISNUMBER(((NºAsuntos!I18/NºAsuntos!G18)*11)/factor_trimestre),((NºAsuntos!I18/NºAsuntos!G18)*11)/factor_trimestre," - ")</f>
        <v>7.5508021390374331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1101</v>
      </c>
      <c r="G19" s="819">
        <f t="shared" si="7"/>
        <v>1014</v>
      </c>
      <c r="H19" s="820">
        <f t="shared" si="7"/>
        <v>0</v>
      </c>
      <c r="I19" s="819">
        <f t="shared" si="7"/>
        <v>0</v>
      </c>
      <c r="J19" s="821">
        <f t="shared" si="7"/>
        <v>0</v>
      </c>
      <c r="K19" s="819">
        <f t="shared" si="7"/>
        <v>0</v>
      </c>
      <c r="L19" s="822">
        <f t="shared" si="7"/>
        <v>0</v>
      </c>
      <c r="M19" s="819">
        <f t="shared" si="7"/>
        <v>0</v>
      </c>
      <c r="N19" s="820">
        <f t="shared" si="7"/>
        <v>672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2077</v>
      </c>
      <c r="Z19" s="826">
        <f t="shared" si="8"/>
        <v>859</v>
      </c>
      <c r="AA19" s="827">
        <f t="shared" si="8"/>
        <v>1453</v>
      </c>
      <c r="AB19" s="827">
        <f t="shared" si="8"/>
        <v>0</v>
      </c>
      <c r="AC19" s="827">
        <f t="shared" si="8"/>
        <v>0</v>
      </c>
      <c r="AD19" s="828">
        <f t="shared" si="8"/>
        <v>0</v>
      </c>
      <c r="AE19" s="828">
        <f t="shared" si="8"/>
        <v>1443</v>
      </c>
      <c r="AF19" s="829">
        <f t="shared" si="8"/>
        <v>0</v>
      </c>
      <c r="AG19" s="830">
        <f t="shared" si="8"/>
        <v>0</v>
      </c>
      <c r="AH19" s="831">
        <f t="shared" si="8"/>
        <v>0</v>
      </c>
      <c r="AI19" s="829">
        <f t="shared" si="8"/>
        <v>0</v>
      </c>
      <c r="AJ19" s="819">
        <f t="shared" si="8"/>
        <v>751</v>
      </c>
      <c r="AK19" s="819">
        <f t="shared" si="8"/>
        <v>1870</v>
      </c>
      <c r="AL19" s="819">
        <f t="shared" si="8"/>
        <v>0</v>
      </c>
      <c r="AM19" s="832">
        <f t="shared" si="8"/>
        <v>0</v>
      </c>
      <c r="AN19" s="822">
        <f>IF(ISNUMBER(Datos!K19/Datos!J19),Datos!K19/Datos!J19," - ")</f>
        <v>0.96117736615072313</v>
      </c>
      <c r="AO19" s="822">
        <f>IF(ISNUMBER(FIND("06",Criterios!A8,1)),(IF(ISNUMBER(((Datos!R19/Datos!Q19)*11)/factor_trimestre),((Datos!R19/Datos!Q19)*11)/factor_trimestre," - ")),(IF(ISNUMBER(((Datos!L19/Datos!K19)*11)/factor_trimestre),((Datos!L19/Datos!K19)*11)/factor_trimestre," - ")))</f>
        <v>7.9973600844772967</v>
      </c>
      <c r="AP19" s="833" t="str">
        <f>IF(ISNUMBER(Datos!CI19/Datos!CJ19),Datos!CI19/Datos!CJ19," - ")</f>
        <v xml:space="preserve"> - </v>
      </c>
      <c r="AQ19" s="833">
        <f>IF(OR(ISNUMBER(FIND("01",Criterios!A8,1)),ISNUMBER(FIND("02",Criterios!A8,1)),ISNUMBER(FIND("03",Criterios!A8,1)),ISNUMBER(FIND("04",Criterios!A8,1))),(J19-Y19+K19)/(F19-K19),(I19-Y19+K19)/(F19-K19))</f>
        <v>-1.8864668483197093</v>
      </c>
      <c r="AR19" s="833">
        <f>IF(ISNUMBER((Datos!P19-Datos!Q19+O19)/(Datos!R19-Datos!P19+Datos!Q19-O19)),(Datos!P19-Datos!Q19+O19)/(Datos!R19-Datos!P19+Datos!Q19-O19)," - ")</f>
        <v>-0.1147239263803681</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405.6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603.33103130315885</v>
      </c>
      <c r="G21" s="551">
        <f>IF(ISNUMBER(STDEV(G8:G18)),STDEV(G8:G18),"-")</f>
        <v>482.35961688350318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194.74153811312743</v>
      </c>
      <c r="AK21" s="251"/>
      <c r="AL21" s="251">
        <f>IF(ISNUMBER(STDEV(AL8:AL18)),STDEV(AL8:AL18),"-")</f>
        <v>0</v>
      </c>
      <c r="AM21" s="253">
        <f>IF(ISNUMBER(STDEV(AM8:AM18)),STDEV(AM8:AM18),"-")</f>
        <v>0</v>
      </c>
      <c r="AN21" s="538">
        <f>IF(ISNUMBER(STDEV(AN8:AN18)),STDEV(AN8:AN18),"-")</f>
        <v>0</v>
      </c>
      <c r="AO21" s="539">
        <f>IF(ISNUMBER(STDEV(AO8:AO18)),STDEV(AO8:AO18),"-")</f>
        <v>6.1755800144969371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bqOQf+cPsl9mVBKQpMP8mP0Drl21VZMver9CHcvNGUUP8sb9CoemPxLUKXAzL2a89aNCm5Jdn59DCVq+KI/Gsg==" saltValue="7hve+jYjucfx3/zDfVKXH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vGiMhY+E3hZK4iL7iX6BOZvMYadXPSU7fHW9rssKPKteYKtNS8OloGOKa2OwFNc2zwb2fG/jP2Rb8nPPBU62WA==" saltValue="6JJrfr44Mffb0N/1jyrsa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uZAOELp9V4ic2sDNzVLy0nGlZ0fgWlycAsF+DTu/WqYxwqznwiky3Fa7oWezUp/vESLl/VDneT26NbqT8lgMw==" saltValue="xyl/JOM/EQRjXQjznDIqe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GRANADA  Resumenes por Partidos Judiciales  GUADIX</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0.22868810617662072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0.16170691065419771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9ySkF8XgVRDYawdKksWarzeI2Wff7JwBaHiaFZxQBJaC9RojYblTMQjXsNkdBLERRdhXwS6t12dZnBaX3aLxPg==" saltValue="w3osPUdRnuyxRtbsajza+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bpEG58Xcwxk3BfUskBT7wA1brFJKHFd36sR5E5xfsOyiQXxyUZbojHPhNDvTeiV5YfT3pTyZ+PiG8DnUn0p73g==" saltValue="eLwAlFB5d1uX3wXJKAN3r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GRANADA</v>
      </c>
      <c r="D3" s="374"/>
      <c r="E3" s="374"/>
      <c r="F3" s="374"/>
      <c r="BQ3" s="470"/>
    </row>
    <row r="4" spans="1:69" ht="13.5" thickBot="1">
      <c r="A4" s="374"/>
      <c r="B4" s="390" t="str">
        <f>Criterios!A11 &amp;"  "&amp;Criterios!B11</f>
        <v>Resumenes por Partidos Judiciales  GUADIX</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28</v>
      </c>
      <c r="D10" s="403">
        <f>IF(ISNUMBER(C10/Datos!BH10),C10/Datos!BH10," - ")</f>
        <v>28</v>
      </c>
      <c r="E10" s="402">
        <f>IF(ISNUMBER(Datos!J10),Datos!J10," - ")</f>
        <v>33</v>
      </c>
      <c r="F10" s="403">
        <f>IF(ISNUMBER(E10/B10),E10/B10," - ")</f>
        <v>33</v>
      </c>
      <c r="G10" s="402">
        <f>IF(ISNUMBER(Datos!K10),Datos!K10," - ")</f>
        <v>20</v>
      </c>
      <c r="H10" s="403">
        <f>IF(ISNUMBER(G10/B10),G10/B10," - ")</f>
        <v>20</v>
      </c>
      <c r="I10" s="402">
        <f>IF(ISNUMBER(Datos!L10),Datos!L10," - ")</f>
        <v>41</v>
      </c>
      <c r="J10" s="403">
        <f>IF(ISNUMBER(I10/B10),I10/B10," - ")</f>
        <v>41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1466</v>
      </c>
      <c r="D12" s="403">
        <f>IF(ISNUMBER(C12/Datos!BH12),C12/Datos!BH12," - ")</f>
        <v>733</v>
      </c>
      <c r="E12" s="402">
        <f>IF(ISNUMBER(IF(J_V="SI",Datos!J12,Datos!J12+Datos!Z12)),IF(J_V="SI",Datos!J12,Datos!J12+Datos!Z12)," - ")</f>
        <v>1787</v>
      </c>
      <c r="F12" s="403">
        <f>IF(ISNUMBER(E12/B12),E12/B12," - ")</f>
        <v>893.5</v>
      </c>
      <c r="G12" s="402">
        <f>IF(ISNUMBER(IF(J_V="SI",Datos!K12,Datos!K12+Datos!AA12)),IF(J_V="SI",Datos!K12,Datos!K12+Datos!AA12)," - ")</f>
        <v>1939</v>
      </c>
      <c r="H12" s="403">
        <f>IF(ISNUMBER(G12/B12),G12/B12," - ")</f>
        <v>969.5</v>
      </c>
      <c r="I12" s="402">
        <f>IF(ISNUMBER(IF(J_V="SI",Datos!L12,Datos!L12+Datos!AB12)),IF(J_V="SI",Datos!L12,Datos!L12+Datos!AB12)," - ")</f>
        <v>1371</v>
      </c>
      <c r="J12" s="403">
        <f>IF(ISNUMBER(I12/B12),I12/B12," - ")</f>
        <v>685.5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1494</v>
      </c>
      <c r="D13" s="849" t="str">
        <f>IF(ISNUMBER(C13/Datos!BI13),C13/Datos!BI13," - ")</f>
        <v xml:space="preserve"> - </v>
      </c>
      <c r="E13" s="848">
        <f>SUBTOTAL(9,E8:E12)</f>
        <v>1820</v>
      </c>
      <c r="F13" s="849">
        <f>IF(ISNUMBER(E13/B13),E13/B13," - ")</f>
        <v>910</v>
      </c>
      <c r="G13" s="848">
        <f>SUBTOTAL(9,G8:G12)</f>
        <v>1959</v>
      </c>
      <c r="H13" s="849">
        <f>IF(ISNUMBER(G13/B13),G13/B13," - ")</f>
        <v>979.5</v>
      </c>
      <c r="I13" s="848">
        <f>SUBTOTAL(9,I8:I12)</f>
        <v>1412</v>
      </c>
      <c r="J13" s="849">
        <f>IF(ISNUMBER(I13/B13),I13/B13," - ")</f>
        <v>706</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876</v>
      </c>
      <c r="D16" s="403">
        <f>IF(ISNUMBER(C16/Datos!BH16),C16/Datos!BH16," - ")</f>
        <v>438</v>
      </c>
      <c r="E16" s="402">
        <f>IF(ISNUMBER(IF(D_I="SI",Datos!J16,Datos!J16+Datos!AD16)),IF(D_I="SI",Datos!J16,Datos!J16+Datos!AD16)," - ")</f>
        <v>2058</v>
      </c>
      <c r="F16" s="403">
        <f>IF(ISNUMBER(E16/B16),E16/B16," - ")</f>
        <v>1029</v>
      </c>
      <c r="G16" s="402">
        <f>IF(ISNUMBER(IF(D_I="SI",Datos!K16,Datos!K16+Datos!AE16)),IF(D_I="SI",Datos!K16,Datos!K16+Datos!AE16)," - ")</f>
        <v>1844</v>
      </c>
      <c r="H16" s="403">
        <f>IF(ISNUMBER(G16/B16),G16/B16," - ")</f>
        <v>922</v>
      </c>
      <c r="I16" s="402">
        <f>IF(ISNUMBER(IF(D_I="SI",Datos!L16,Datos!L16+Datos!AF16)),IF(D_I="SI",Datos!L16,Datos!L16+Datos!AF16)," - ")</f>
        <v>1287</v>
      </c>
      <c r="J16" s="403">
        <f>IF(ISNUMBER(I16/B16),I16/B16," - ")</f>
        <v>643.5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110</v>
      </c>
      <c r="D17" s="403">
        <f>IF(ISNUMBER(C17/Datos!BH17),C17/Datos!BH17," - ")</f>
        <v>110</v>
      </c>
      <c r="E17" s="402">
        <f>IF(ISNUMBER(IF(D_I="SI",Datos!J17,Datos!J17+Datos!AD17)),IF(D_I="SI",Datos!J17,Datos!J17+Datos!AD17)," - ")</f>
        <v>228</v>
      </c>
      <c r="F17" s="403">
        <f>IF(ISNUMBER(E17/B17),E17/B17," - ")</f>
        <v>228</v>
      </c>
      <c r="G17" s="402">
        <f>IF(ISNUMBER(IF(D_I="SI",Datos!K17,Datos!K17+Datos!AE17)),IF(D_I="SI",Datos!K17,Datos!K17+Datos!AE17)," - ")</f>
        <v>213</v>
      </c>
      <c r="H17" s="403">
        <f>IF(ISNUMBER(G17/B17),G17/B17," - ")</f>
        <v>213</v>
      </c>
      <c r="I17" s="402">
        <f>IF(ISNUMBER(IF(D_I="SI",Datos!L17,Datos!L17+Datos!AF17)),IF(D_I="SI",Datos!L17,Datos!L17+Datos!AF17)," - ")</f>
        <v>125</v>
      </c>
      <c r="J17" s="403">
        <f>IF(ISNUMBER(I17/B17),I17/B17," - ")</f>
        <v>125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986</v>
      </c>
      <c r="D18" s="849" t="str">
        <f>IF(ISNUMBER(C18/Datos!BI18),C18/Datos!BI18," - ")</f>
        <v xml:space="preserve"> - </v>
      </c>
      <c r="E18" s="848">
        <f>SUBTOTAL(9,E14:E17)</f>
        <v>2286</v>
      </c>
      <c r="F18" s="849">
        <f>IF(ISNUMBER(E18/B18),E18/B18," - ")</f>
        <v>1143</v>
      </c>
      <c r="G18" s="848">
        <f>SUBTOTAL(9,G14:G17)</f>
        <v>2057</v>
      </c>
      <c r="H18" s="849">
        <f>IF(ISNUMBER(G18/B18),G18/B18," - ")</f>
        <v>1028.5</v>
      </c>
      <c r="I18" s="848">
        <f>SUBTOTAL(9,I14:I17)</f>
        <v>1412</v>
      </c>
      <c r="J18" s="849">
        <f>IF(ISNUMBER(I18/B18),I18/B18," - ")</f>
        <v>706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2480</v>
      </c>
      <c r="D19" s="794" t="str">
        <f>IF(ISNUMBER(C19/Datos!BI19),C19/Datos!BI19," - ")</f>
        <v xml:space="preserve"> - </v>
      </c>
      <c r="E19" s="793">
        <f>SUBTOTAL(9,E9:E18)</f>
        <v>4106</v>
      </c>
      <c r="F19" s="794">
        <f>IF(ISNUMBER(E19/B19),E19/B19," - ")</f>
        <v>2053</v>
      </c>
      <c r="G19" s="793">
        <f>SUBTOTAL(9,G9:G18)</f>
        <v>4016</v>
      </c>
      <c r="H19" s="794">
        <f>IF(ISNUMBER(G19/B19),G19/B19," - ")</f>
        <v>2008</v>
      </c>
      <c r="I19" s="793">
        <f>SUBTOTAL(9,I9:I18)</f>
        <v>2824</v>
      </c>
      <c r="J19" s="794">
        <f>IF(ISNUMBER(I19/B19),I19/B19," - ")</f>
        <v>1412</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ssy231BIrQtKTlpFSPNI9zhRHY1YjGYSrX+arV0p1wO4oqEFdVaGXSyCCD7EaSI/ZHQDOl78ALnwUAyqA3qHQA==" saltValue="iue68x10fSXjRoXjALUDW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GRANADA  Resumenes por Partidos Judiciales  GUADIX</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28</v>
      </c>
      <c r="G10" s="683">
        <f>IF(ISNUMBER(Datos!I10),Datos!I10," - ")</f>
        <v>28</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4</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20</v>
      </c>
      <c r="AC10" s="682" t="str">
        <f>IF(ISNUMBER(IF(D_I="SI",DatosP!K17,DatosP!K17+DatosP!AE17)),IF(D_I="SI",DatosP!K17,DatosP!K17+DatosP!AE17)," - ")</f>
        <v xml:space="preserve"> - </v>
      </c>
      <c r="AD10" s="684"/>
      <c r="AE10" s="684"/>
      <c r="AF10" s="687">
        <f>IF(ISNUMBER(Datos!L10),Datos!L10,"-")</f>
        <v>41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8</v>
      </c>
      <c r="AM10" s="689">
        <f>IF(ISNUMBER(Datos!N10+DatosP!N17),Datos!N10+DatosP!N17," - ")</f>
        <v>6</v>
      </c>
      <c r="AN10" s="689">
        <f>IF(ISNUMBER(Datos!BW10+DatosP!BW17),Datos!BW10+DatosP!BW17," - ")</f>
        <v>0</v>
      </c>
      <c r="AO10" s="690">
        <f>IF(ISNUMBER(Datos!BX10+DatosP!BX17),Datos!BX10+DatosP!BX17," - ")</f>
        <v>0</v>
      </c>
      <c r="AP10" s="692">
        <f>IF(ISNUMBER(((Datos!L10/Datos!K10)*11)/factor_trimestre),((Datos!L10/Datos!K10)*11)/factor_trimestre," - ")</f>
        <v>22.549999999999997</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590</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831</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1303</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440</v>
      </c>
      <c r="AM12" s="689">
        <f>IF(ISNUMBER(Datos!N12+DatosP!N16),Datos!N12+DatosP!N16," - ")</f>
        <v>745</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7.7777204744713773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-0.1560880829015544</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28</v>
      </c>
      <c r="G13" s="937">
        <f t="shared" si="0"/>
        <v>28</v>
      </c>
      <c r="H13" s="937">
        <f t="shared" si="0"/>
        <v>0</v>
      </c>
      <c r="I13" s="939">
        <f t="shared" si="0"/>
        <v>0</v>
      </c>
      <c r="J13" s="938">
        <f t="shared" si="0"/>
        <v>0</v>
      </c>
      <c r="K13" s="938">
        <f t="shared" si="0"/>
        <v>0</v>
      </c>
      <c r="L13" s="940">
        <f t="shared" si="0"/>
        <v>0</v>
      </c>
      <c r="M13" s="940">
        <f t="shared" si="0"/>
        <v>0</v>
      </c>
      <c r="N13" s="938">
        <f t="shared" si="0"/>
        <v>594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20</v>
      </c>
      <c r="AC13" s="938">
        <f t="shared" si="1"/>
        <v>0</v>
      </c>
      <c r="AD13" s="938">
        <f t="shared" si="1"/>
        <v>831</v>
      </c>
      <c r="AE13" s="938">
        <f t="shared" si="1"/>
        <v>0</v>
      </c>
      <c r="AF13" s="938">
        <f t="shared" si="1"/>
        <v>41</v>
      </c>
      <c r="AG13" s="938">
        <f t="shared" si="1"/>
        <v>0</v>
      </c>
      <c r="AH13" s="938">
        <f t="shared" si="1"/>
        <v>1303</v>
      </c>
      <c r="AI13" s="938">
        <f t="shared" si="1"/>
        <v>0</v>
      </c>
      <c r="AJ13" s="938">
        <f t="shared" si="1"/>
        <v>0</v>
      </c>
      <c r="AK13" s="938">
        <f t="shared" si="1"/>
        <v>0</v>
      </c>
      <c r="AL13" s="938">
        <f t="shared" si="1"/>
        <v>448</v>
      </c>
      <c r="AM13" s="938">
        <f t="shared" si="1"/>
        <v>751</v>
      </c>
      <c r="AN13" s="938">
        <f t="shared" si="1"/>
        <v>0</v>
      </c>
      <c r="AO13" s="938">
        <f t="shared" si="1"/>
        <v>0</v>
      </c>
      <c r="AP13" s="943">
        <f>IF(ISNUMBER(((Datos!L13/Datos!K13)*11)/factor_trimestre),((Datos!L13/Datos!K13)*11)/factor_trimestre," - ")</f>
        <v>8.5280184864240312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-0.7142857142857143</v>
      </c>
      <c r="AU13" s="938" t="str">
        <f>IF(ISNUMBER((DatosP!#REF!-DatosP!#REF!+DatosP!#REF!)/(DatosP!#REF!+DatosP!#REF!-DatosP!#REF!-DatosP!#REF!)),(DatosP!#REF!-DatosP!#REF!+DatosP!#REF!)/(DatosP!#REF!+DatosP!#REF!-DatosP!#REF!-DatosP!#REF!)," - ")</f>
        <v xml:space="preserve"> - </v>
      </c>
      <c r="AV13" s="944">
        <f>SUBTOTAL(9,AV9:AV12)</f>
        <v>-0.1560880829015544</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7.5508021390374331</v>
      </c>
      <c r="AQ18" s="943">
        <f>IF(ISNUMBER(((Datos!M18/Datos!L18)*11)/factor_trimestre),((Datos!M18/Datos!L18)*11)/factor_trimestre," - ")</f>
        <v>2.3604815864022664</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0.59523809523809523</v>
      </c>
      <c r="AW18" s="945">
        <f>IF(ISNUMBER((Datos!Q18-Datos!R18)/(Datos!S18-Datos!Q18+Datos!R18)),(Datos!Q18-Datos!R18)/(Datos!S18-Datos!Q18+Datos!R18)," - ")</f>
        <v>-9.3888396811337468E-2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28</v>
      </c>
      <c r="G19" s="950">
        <f t="shared" si="4"/>
        <v>28</v>
      </c>
      <c r="H19" s="950">
        <f t="shared" si="4"/>
        <v>0</v>
      </c>
      <c r="I19" s="951">
        <f t="shared" si="4"/>
        <v>0</v>
      </c>
      <c r="J19" s="952">
        <f t="shared" si="4"/>
        <v>0</v>
      </c>
      <c r="K19" s="952">
        <f t="shared" si="4"/>
        <v>0</v>
      </c>
      <c r="L19" s="952">
        <f t="shared" si="4"/>
        <v>0</v>
      </c>
      <c r="M19" s="952">
        <f t="shared" si="4"/>
        <v>0</v>
      </c>
      <c r="N19" s="951">
        <f t="shared" si="4"/>
        <v>594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20</v>
      </c>
      <c r="AC19" s="956">
        <f t="shared" si="5"/>
        <v>0</v>
      </c>
      <c r="AD19" s="956">
        <f t="shared" si="5"/>
        <v>831</v>
      </c>
      <c r="AE19" s="956">
        <f t="shared" si="5"/>
        <v>0</v>
      </c>
      <c r="AF19" s="957">
        <f t="shared" si="5"/>
        <v>41</v>
      </c>
      <c r="AG19" s="957">
        <f t="shared" si="5"/>
        <v>0</v>
      </c>
      <c r="AH19" s="957">
        <f t="shared" si="5"/>
        <v>1303</v>
      </c>
      <c r="AI19" s="957">
        <f t="shared" si="5"/>
        <v>0</v>
      </c>
      <c r="AJ19" s="958">
        <f t="shared" si="5"/>
        <v>0</v>
      </c>
      <c r="AK19" s="958">
        <f t="shared" si="5"/>
        <v>0</v>
      </c>
      <c r="AL19" s="950">
        <f t="shared" si="5"/>
        <v>448</v>
      </c>
      <c r="AM19" s="950">
        <f t="shared" si="5"/>
        <v>751</v>
      </c>
      <c r="AN19" s="950">
        <f t="shared" si="5"/>
        <v>0</v>
      </c>
      <c r="AO19" s="950">
        <f t="shared" si="5"/>
        <v>0</v>
      </c>
      <c r="AP19" s="950">
        <f>IF(ISNUMBER(((Datos!L19/Datos!K19)*11)/factor_trimestre),((Datos!L19/Datos!K19)*11)/factor_trimestre," - ")</f>
        <v>7.9973600844772967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-0.7142857142857143</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-0.1147239263803681</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18.666666666666668</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16.165807537309522</v>
      </c>
      <c r="G21" s="736">
        <f>IF(ISNUMBER(STDEV(G8:G18)),STDEV(G8:G18),"-")</f>
        <v>16.165807537309522</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11.547005383792515</v>
      </c>
      <c r="AC21" s="737">
        <f>IF(ISNUMBER(STDEV(AC8:AC18)),STDEV(AC8:AC18),"-")</f>
        <v>0</v>
      </c>
      <c r="AD21" s="740"/>
      <c r="AE21" s="740"/>
      <c r="AF21" s="740"/>
      <c r="AG21" s="740"/>
      <c r="AH21" s="740"/>
      <c r="AI21" s="740"/>
      <c r="AJ21" s="741">
        <f>IF(ISNUMBER(STDEV(AJ8:AJ18)),STDEV(AJ8:AJ18),"-")</f>
        <v>0</v>
      </c>
      <c r="AK21" s="743"/>
      <c r="AL21" s="735">
        <f>IF(ISNUMBER(STDEV(AL8:AL18)),STDEV(AL8:AL18),"-")</f>
        <v>254.07610408432089</v>
      </c>
      <c r="AM21" s="735"/>
      <c r="AN21" s="735">
        <f>IF(ISNUMBER(STDEV(AN8:AN18)),STDEV(AN8:AN18),"-")</f>
        <v>0</v>
      </c>
      <c r="AO21" s="741">
        <f>IF(ISNUMBER(STDEV(AO8:AO18)),STDEV(AO8:AO18),"-")</f>
        <v>0</v>
      </c>
      <c r="AP21" s="778">
        <f>IF(ISNUMBER(STDEV(AP8:AP18)),STDEV(AP8:AP18),"-")</f>
        <v>7.3108454552524131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3e7L/r0+yZawUTE2bc9MGfo4Jaa0bnUx0Zjn8gz7fxwRfsiOXM35KSi9xuF5J5q+2SGrZnM9b2KDj4AQwzDdOg==" saltValue="kgl6hpl3F6DQZ259Y2q/P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GRANADA</v>
      </c>
      <c r="C3" s="414"/>
      <c r="F3" s="374"/>
      <c r="G3" s="374"/>
      <c r="H3" s="374"/>
    </row>
    <row r="4" spans="1:15" ht="13.5" thickBot="1">
      <c r="A4" s="374"/>
      <c r="B4" s="390" t="str">
        <f>Criterios!A11 &amp;"  "&amp;Criterios!B11</f>
        <v>Resumenes por Partidos Judiciales  GUADIX</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ztKB5evnVPnf2K58ekeQsJkRO6iHgMuQfaN8OuJ0ukm5Tp87KHyLsJCbVf/wCPGPxeJRd0Kt6Hq0EyaXM9RznA==" saltValue="QzydfuheTLPzUWV7ey//B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GRANADA</v>
      </c>
      <c r="C3" s="390"/>
      <c r="D3" s="424"/>
      <c r="BZ3" s="470"/>
    </row>
    <row r="4" spans="1:78" ht="13.5" thickBot="1">
      <c r="B4" s="390" t="str">
        <f>Criterios!A11 &amp;"  "&amp;Criterios!B11</f>
        <v>Resumenes por Partidos Judiciales  GUADIX</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8</v>
      </c>
      <c r="E10" s="403">
        <f>IF(ISNUMBER(D10/B10),D10/B10," - ")</f>
        <v>8</v>
      </c>
      <c r="F10" s="402">
        <f>IF(ISNUMBER(Datos!N10),Datos!N10," - ")</f>
        <v>6</v>
      </c>
      <c r="G10" s="403">
        <f>IF(ISNUMBER(F10/B10),F10/B10," - ")</f>
        <v>6</v>
      </c>
      <c r="H10" s="402">
        <f>IF(ISNUMBER(Datos!O10),Datos!O10," - ")</f>
        <v>5</v>
      </c>
      <c r="I10" s="403">
        <f t="shared" ref="I10:I12" si="2">IF(ISNUMBER(H10/B10),H10/B10," - ")</f>
        <v>5</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440</v>
      </c>
      <c r="E12" s="403">
        <f t="shared" si="0"/>
        <v>220</v>
      </c>
      <c r="F12" s="402">
        <f>IF(ISNUMBER(Datos!N12),Datos!N12," - ")</f>
        <v>745</v>
      </c>
      <c r="G12" s="403">
        <f t="shared" si="1"/>
        <v>372.5</v>
      </c>
      <c r="H12" s="402">
        <f>IF(ISNUMBER(Datos!O12),Datos!O12," - ")</f>
        <v>997</v>
      </c>
      <c r="I12" s="403">
        <f t="shared" si="2"/>
        <v>498.5</v>
      </c>
      <c r="BZ12" s="1185">
        <f>Datos!EZ12</f>
        <v>0</v>
      </c>
    </row>
    <row r="13" spans="1:78" ht="14.25" thickTop="1" thickBot="1">
      <c r="A13" s="847" t="str">
        <f>Datos!A13</f>
        <v>TOTAL</v>
      </c>
      <c r="B13" s="848">
        <f>Datos!AP13</f>
        <v>2</v>
      </c>
      <c r="C13" s="850">
        <f>Datos!AR13</f>
        <v>2</v>
      </c>
      <c r="D13" s="848">
        <f>SUBTOTAL(9,D9:D12)</f>
        <v>448</v>
      </c>
      <c r="E13" s="849">
        <f t="shared" si="0"/>
        <v>224</v>
      </c>
      <c r="F13" s="848">
        <f>SUBTOTAL(9,F9:F12)</f>
        <v>751</v>
      </c>
      <c r="G13" s="849">
        <f t="shared" si="1"/>
        <v>375.5</v>
      </c>
      <c r="H13" s="848">
        <f>SUBTOTAL(9,H9:H12)</f>
        <v>1002</v>
      </c>
      <c r="I13" s="849">
        <f>IF(ISNUMBER(H13/B13),H13/B13," - ")</f>
        <v>501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281</v>
      </c>
      <c r="E16" s="403">
        <f t="shared" si="3"/>
        <v>140.5</v>
      </c>
      <c r="F16" s="402">
        <f>IF(ISNUMBER(Datos!N16),Datos!N16," - ")</f>
        <v>1009</v>
      </c>
      <c r="G16" s="403">
        <f t="shared" si="4"/>
        <v>504.5</v>
      </c>
      <c r="H16" s="402">
        <f>IF(ISNUMBER(Datos!O16),Datos!O16," - ")</f>
        <v>15</v>
      </c>
      <c r="I16" s="403">
        <f t="shared" si="5"/>
        <v>7.5</v>
      </c>
      <c r="BZ16" s="1185">
        <f>Datos!EZ16</f>
        <v>0</v>
      </c>
    </row>
    <row r="17" spans="1:78" ht="13.5" thickBot="1">
      <c r="A17" s="401" t="str">
        <f>Datos!A17</f>
        <v>Jdos. Violencia contra la mujer/Secc Viol. TI.</v>
      </c>
      <c r="B17" s="426">
        <f>Datos!AO17</f>
        <v>1</v>
      </c>
      <c r="C17" s="427">
        <f>Datos!AQ17</f>
        <v>0</v>
      </c>
      <c r="D17" s="402">
        <f>IF(ISNUMBER(Datos!M17),Datos!M17," - ")</f>
        <v>22</v>
      </c>
      <c r="E17" s="403">
        <f>IF(ISNUMBER(D17/B17),D17/B17," - ")</f>
        <v>22</v>
      </c>
      <c r="F17" s="402">
        <f>IF(ISNUMBER(Datos!N17),Datos!N17," - ")</f>
        <v>110</v>
      </c>
      <c r="G17" s="403">
        <f>IF(ISNUMBER(F17/B17),F17/B17," - ")</f>
        <v>110</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303</v>
      </c>
      <c r="E18" s="849">
        <f t="shared" si="3"/>
        <v>151.5</v>
      </c>
      <c r="F18" s="848">
        <f>SUBTOTAL(9,F15:F17)</f>
        <v>1119</v>
      </c>
      <c r="G18" s="849">
        <f t="shared" si="4"/>
        <v>559.5</v>
      </c>
      <c r="H18" s="848">
        <f>SUBTOTAL(9,H15:H17)</f>
        <v>15</v>
      </c>
      <c r="I18" s="849">
        <f>IF(ISNUMBER(H18/B18),H18/B18," - ")</f>
        <v>7.5</v>
      </c>
      <c r="BZ18" s="1185"/>
    </row>
    <row r="19" spans="1:78" ht="14.25" thickTop="1" thickBot="1">
      <c r="A19" s="792" t="str">
        <f>Datos!A19</f>
        <v>TOTAL JURISDICCIONES</v>
      </c>
      <c r="B19" s="793">
        <f>Datos!AP19</f>
        <v>2</v>
      </c>
      <c r="C19" s="793">
        <f>Datos!AR19</f>
        <v>2</v>
      </c>
      <c r="D19" s="793">
        <f>SUBTOTAL(9,D8:D18)</f>
        <v>751</v>
      </c>
      <c r="E19" s="794">
        <f>IF(ISNUMBER(D19/B19),D19/B19," - ")</f>
        <v>375.5</v>
      </c>
      <c r="F19" s="793">
        <f>SUBTOTAL(9,F8:F18)</f>
        <v>1870</v>
      </c>
      <c r="G19" s="794">
        <f>IF(ISNUMBER(F19/B19),F19/B19," - ")</f>
        <v>935</v>
      </c>
      <c r="H19" s="793">
        <f>SUBTOTAL(9,H8:H18)</f>
        <v>1017</v>
      </c>
      <c r="I19" s="794">
        <f>IF(ISNUMBER(H19/B19),H19/B19," - ")</f>
        <v>508.5</v>
      </c>
    </row>
    <row r="22" spans="1:78">
      <c r="A22" s="390" t="str">
        <f>Criterios!A4</f>
        <v>Fecha Informe: 18 mar. 2026</v>
      </c>
    </row>
    <row r="27" spans="1:78">
      <c r="A27" s="413"/>
    </row>
  </sheetData>
  <sheetProtection algorithmName="SHA-512" hashValue="lHYsS3xVRt8cbVWMz5/7w0miVS3+KssDOVRtzSXJhzy3elGRjc98l/YQ/O1kIH0z1dKsHzJBEKdOyTTkzQNRpA==" saltValue="PbI1zftxFBk52O9/Qzrsk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GRANADA</v>
      </c>
    </row>
    <row r="4" spans="1:4" ht="13.5" thickBot="1">
      <c r="B4" s="390" t="str">
        <f>Criterios!A11 &amp;"  "&amp;Criterios!B11</f>
        <v>Resumenes por Partidos Judiciales  GUADIX</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4</v>
      </c>
      <c r="C10" s="433">
        <f>IF(ISNUMBER(Datos!Q10),Datos!Q10," - ")</f>
        <v>0</v>
      </c>
      <c r="D10" s="407">
        <f>IF(ISNUMBER(Datos!R10),Datos!R10," - ")</f>
        <v>6</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590</v>
      </c>
      <c r="C12" s="433">
        <f>IF(ISNUMBER(Datos!Q12),Datos!Q12," - ")</f>
        <v>831</v>
      </c>
      <c r="D12" s="407">
        <f>IF(ISNUMBER(Datos!R12),Datos!R12," - ")</f>
        <v>1303</v>
      </c>
    </row>
    <row r="13" spans="1:4" ht="14.25" thickTop="1" thickBot="1">
      <c r="A13" s="847" t="str">
        <f>Datos!A13</f>
        <v>TOTAL</v>
      </c>
      <c r="B13" s="848">
        <f>SUBTOTAL(9,B9:B12)</f>
        <v>594</v>
      </c>
      <c r="C13" s="852">
        <f>SUBTOTAL(9,C9:C12)</f>
        <v>831</v>
      </c>
      <c r="D13" s="850">
        <f>SUBTOTAL(9,D9:D12)</f>
        <v>1309</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78</v>
      </c>
      <c r="C16" s="433">
        <f>IF(ISNUMBER(Datos!Q16),Datos!Q16," - ")</f>
        <v>28</v>
      </c>
      <c r="D16" s="407">
        <f>IF(ISNUMBER(Datos!R16),Datos!R16," - ")</f>
        <v>130</v>
      </c>
    </row>
    <row r="17" spans="1:4" ht="13.5" thickBot="1">
      <c r="A17" s="401" t="str">
        <f>Datos!A17</f>
        <v>Jdos. Violencia contra la mujer/Secc Viol. TI.</v>
      </c>
      <c r="B17" s="432">
        <f>IF(ISNUMBER(Datos!P17),Datos!P17," - ")</f>
        <v>0</v>
      </c>
      <c r="C17" s="433">
        <f>IF(ISNUMBER(Datos!Q17),Datos!Q17," - ")</f>
        <v>0</v>
      </c>
      <c r="D17" s="407">
        <f>IF(ISNUMBER(Datos!R17),Datos!R17," - ")</f>
        <v>4</v>
      </c>
    </row>
    <row r="18" spans="1:4" ht="14.25" thickTop="1" thickBot="1">
      <c r="A18" s="847" t="str">
        <f>Datos!A18</f>
        <v>TOTAL</v>
      </c>
      <c r="B18" s="848">
        <f>SUBTOTAL(9,B15:B17)</f>
        <v>78</v>
      </c>
      <c r="C18" s="852">
        <f>SUBTOTAL(9,C15:C17)</f>
        <v>28</v>
      </c>
      <c r="D18" s="850">
        <f>SUBTOTAL(9,D15:D17)</f>
        <v>134</v>
      </c>
    </row>
    <row r="19" spans="1:4" ht="16.5" customHeight="1" thickTop="1" thickBot="1">
      <c r="A19" s="792" t="str">
        <f>Datos!A19</f>
        <v>TOTAL JURISDICCIONES</v>
      </c>
      <c r="B19" s="797">
        <f>SUBTOTAL(9,B8:B18)</f>
        <v>672</v>
      </c>
      <c r="C19" s="798">
        <f>SUBTOTAL(9,C8:C18)</f>
        <v>859</v>
      </c>
      <c r="D19" s="799">
        <f>SUBTOTAL(9,D8:D18)</f>
        <v>1443</v>
      </c>
    </row>
    <row r="20" spans="1:4" ht="7.5" customHeight="1"/>
    <row r="21" spans="1:4" ht="6" customHeight="1"/>
    <row r="22" spans="1:4">
      <c r="A22" s="390" t="str">
        <f>Criterios!A4</f>
        <v>Fecha Informe: 18 mar. 2026</v>
      </c>
    </row>
    <row r="27" spans="1:4">
      <c r="A27" s="413"/>
    </row>
  </sheetData>
  <sheetProtection algorithmName="SHA-512" hashValue="TX5fkiNwh2Imt6Cl9oUHWDKrXRXCw4dTfPAvVIsCdDVHA4lBYY+XRufI8UiLPXnmQq1KcqtapUkTQ1fxY51WOg==" saltValue="2n/Hqy/ypQlTzNW24NpsS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GRANADA</v>
      </c>
    </row>
    <row r="4" spans="1:11" ht="10.5" customHeight="1" thickBot="1">
      <c r="B4" s="390" t="str">
        <f>Criterios!A11 &amp;"  "&amp;Criterios!B11</f>
        <v>Resumenes por Partidos Judiciales  GUADIX</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0.6470588235294118</v>
      </c>
      <c r="C10" s="455">
        <f>IF(ISNUMBER((Datos!J10-Datos!T10)/Datos!T10),(Datos!J10-Datos!T10)/Datos!T10," - ")</f>
        <v>0.13793103448275862</v>
      </c>
      <c r="D10" s="455">
        <f>IF(ISNUMBER((Datos!K10-Datos!U10)/Datos!U10),(Datos!K10-Datos!U10)/Datos!U10," - ")</f>
        <v>0</v>
      </c>
      <c r="E10" s="455">
        <f>IF(ISNUMBER((Datos!L10-Datos!V10)/Datos!V10),(Datos!L10-Datos!V10)/Datos!V10," - ")</f>
        <v>0.4642857142857143</v>
      </c>
      <c r="F10" s="455">
        <f>IF(ISNUMBER((Datos!M10-Datos!W10)/Datos!W10),(Datos!M10-Datos!W10)/Datos!W10," - ")</f>
        <v>-0.2</v>
      </c>
      <c r="G10" s="456">
        <f>IF(ISNUMBER((Datos!N10-Datos!X10)/Datos!X10),(Datos!N10-Datos!X10)/Datos!X10," - ")</f>
        <v>1</v>
      </c>
      <c r="H10" s="454">
        <f>IF(ISNUMBER(((NºAsuntos!G10/NºAsuntos!E10)-Datos!BD10)/Datos!BD10),((NºAsuntos!G10/NºAsuntos!E10)-Datos!BD10)/Datos!BD10," - ")</f>
        <v>-0.12121212121212124</v>
      </c>
      <c r="I10" s="455">
        <f>IF(ISNUMBER(((NºAsuntos!I10/NºAsuntos!G10)-Datos!BE10)/Datos!BE10),((NºAsuntos!I10/NºAsuntos!G10)-Datos!BE10)/Datos!BE10," - ")</f>
        <v>0.46428571428571425</v>
      </c>
      <c r="J10" s="460">
        <f>IF(ISNUMBER((('Resol  Asuntos'!D10/NºAsuntos!G10)-Datos!BF10)/Datos!BF10),(('Resol  Asuntos'!D10/NºAsuntos!G10)-Datos!BF10)/Datos!BF10," - ")</f>
        <v>-0.19999999999999996</v>
      </c>
      <c r="K10" s="461">
        <f>IF(ISNUMBER((((NºAsuntos!C10+NºAsuntos!E10)/NºAsuntos!G10)-Datos!BG10)/Datos!BG10),(((NºAsuntos!C10+NºAsuntos!E10)/NºAsuntos!G10)-Datos!BG10)/Datos!BG10," - ")</f>
        <v>0.32608695652173914</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0.18130539887187752</v>
      </c>
      <c r="C12" s="455">
        <f>IF(ISNUMBER(
   IF(J_V="SI",(Datos!J12-Datos!T12)/Datos!T12,(Datos!J12+Datos!Z12-(Datos!T12+Datos!AH12))/(Datos!T12+Datos!AH12))
     ),IF(J_V="SI",(Datos!J12-Datos!T12)/Datos!T12,(Datos!J12+Datos!Z12-(Datos!T12+Datos!AH12))/(Datos!T12+Datos!AH12))," - ")</f>
        <v>-6.2434417628541447E-2</v>
      </c>
      <c r="D12" s="455">
        <f>IF(ISNUMBER(
   IF(J_V="SI",(Datos!K12-Datos!U12)/Datos!U12,(Datos!K12+Datos!AA12-(Datos!U12+Datos!AI12))/(Datos!U12+Datos!AI12))
     ),IF(J_V="SI",(Datos!K12-Datos!U12)/Datos!U12,(Datos!K12+Datos!AA12-(Datos!U12+Datos!AI12))/(Datos!U12+Datos!AI12))," - ")</f>
        <v>0.13991769547325103</v>
      </c>
      <c r="E12" s="455">
        <f>IF(ISNUMBER(
   IF(J_V="SI",(Datos!L12-Datos!V12)/Datos!V12,(Datos!L12+Datos!AB12-(Datos!V12+Datos!AJ12))/(Datos!V12+Datos!AJ12))
     ),IF(J_V="SI",(Datos!L12-Datos!V12)/Datos!V12,(Datos!L12+Datos!AB12-(Datos!V12+Datos!AJ12))/(Datos!V12+Datos!AJ12))," - ")</f>
        <v>-6.4802182810368356E-2</v>
      </c>
      <c r="F12" s="455">
        <f>IF(ISNUMBER((Datos!M12-Datos!W12)/Datos!W12),(Datos!M12-Datos!W12)/Datos!W12," - ")</f>
        <v>0.12531969309462915</v>
      </c>
      <c r="G12" s="456">
        <f>IF(ISNUMBER((Datos!N12-Datos!X12)/Datos!X12),(Datos!N12-Datos!X12)/Datos!X12," - ")</f>
        <v>0.10698365527488855</v>
      </c>
      <c r="H12" s="454">
        <f>IF(ISNUMBER(((NºAsuntos!G12/NºAsuntos!E12)-Datos!BD12)/Datos!BD12),((NºAsuntos!G12/NºAsuntos!E12)-Datos!BD12)/Datos!BD12," - ")</f>
        <v>0.21582715588808968</v>
      </c>
      <c r="I12" s="455">
        <f>IF(ISNUMBER(((NºAsuntos!I12/NºAsuntos!G12)-Datos!BE12)/Datos!BE12),((NºAsuntos!I12/NºAsuntos!G12)-Datos!BE12)/Datos!BE12," - ")</f>
        <v>-0.17959180658093685</v>
      </c>
      <c r="J12" s="460">
        <f>IF(ISNUMBER((('Resol  Asuntos'!D12/NºAsuntos!G12)-Datos!BF12)/Datos!BF12),(('Resol  Asuntos'!D12/NºAsuntos!G12)-Datos!BF12)/Datos!BF12," - ")</f>
        <v>-0.42645946540357582</v>
      </c>
      <c r="K12" s="461">
        <f>IF(ISNUMBER((((NºAsuntos!C12+NºAsuntos!E12)/NºAsuntos!G12)-Datos!BG12)/Datos!BG12),(((NºAsuntos!C12+NºAsuntos!E12)/NºAsuntos!G12)-Datos!BG12)/Datos!BG12," - ")</f>
        <v>-9.3195169544314185E-2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0.18759936406995231</v>
      </c>
      <c r="C13" s="854">
        <f>IF(ISNUMBER(
   IF(J_V="SI",(Datos!J13-Datos!T13)/Datos!T13,(Datos!J13+Datos!Z13-(Datos!T13+Datos!AH13))/(Datos!T13+Datos!AH13))
     ),IF(J_V="SI",(Datos!J13-Datos!T13)/Datos!T13,(Datos!J13+Datos!Z13-(Datos!T13+Datos!AH13))/(Datos!T13+Datos!AH13))," - ")</f>
        <v>-5.9431524547803614E-2</v>
      </c>
      <c r="D13" s="854">
        <f>IF(ISNUMBER(
   IF(J_V="SI",(Datos!K13-Datos!U13)/Datos!U13,(Datos!K13+Datos!AA13-(Datos!U13+Datos!AI13))/(Datos!U13+Datos!AI13))
     ),IF(J_V="SI",(Datos!K13-Datos!U13)/Datos!U13,(Datos!K13+Datos!AA13-(Datos!U13+Datos!AI13))/(Datos!U13+Datos!AI13))," - ")</f>
        <v>0.13829169087739687</v>
      </c>
      <c r="E13" s="854">
        <f>IF(ISNUMBER(
   IF(J_V="SI",(Datos!L13-Datos!V13)/Datos!V13,(Datos!L13+Datos!AB13-(Datos!V13+Datos!AJ13))/(Datos!V13+Datos!AJ13))
     ),IF(J_V="SI",(Datos!L13-Datos!V13)/Datos!V13,(Datos!L13+Datos!AB13-(Datos!V13+Datos!AJ13))/(Datos!V13+Datos!AJ13))," - ")</f>
        <v>-5.4886211512717539E-2</v>
      </c>
      <c r="F13" s="855">
        <f>IF(ISNUMBER((Datos!M13-Datos!W13)/Datos!W13),(Datos!M13-Datos!W13)/Datos!W13," - ")</f>
        <v>0.1172069825436409</v>
      </c>
      <c r="G13" s="856">
        <f>IF(ISNUMBER((Datos!N13-Datos!X13)/Datos!X13),(Datos!N13-Datos!X13)/Datos!X13," - ")</f>
        <v>0.11094674556213018</v>
      </c>
      <c r="H13" s="856">
        <f>IF(ISNUMBER(((NºAsuntos!G13/NºAsuntos!E13)-Datos!BD13)/Datos!BD13),((NºAsuntos!G13/NºAsuntos!E13)-Datos!BD13)/Datos!BD13," - ")</f>
        <v>0.21021671530096858</v>
      </c>
      <c r="I13" s="856">
        <f>IF(ISNUMBER(((NºAsuntos!I13/NºAsuntos!G13)-Datos!BE13)/Datos!BE13),((NºAsuntos!I13/NºAsuntos!G13)-Datos!BE13)/Datos!BE13," - ")</f>
        <v>-0.16970861154333178</v>
      </c>
      <c r="J13" s="856">
        <f>IF(ISNUMBER((('Resol  Asuntos'!D13/NºAsuntos!G13)-Datos!BF13)/Datos!BF13),(('Resol  Asuntos'!D13/NºAsuntos!G13)-Datos!BF13)/Datos!BF13," - ")</f>
        <v>-0.42375954505129687</v>
      </c>
      <c r="K13" s="856">
        <f>IF(ISNUMBER((((NºAsuntos!C13+NºAsuntos!E13)/NºAsuntos!G13)-Datos!BG13)/Datos!BG13),(((NºAsuntos!C13+NºAsuntos!E13)/NºAsuntos!G13)-Datos!BG13)/Datos!BG13," - ")</f>
        <v>-8.8199092994230177E-2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-4.8859934853420196E-2</v>
      </c>
      <c r="C16" s="455">
        <f>IF(ISNUMBER(
   IF(D_I="SI",(Datos!J16-Datos!T16)/Datos!T16,(Datos!J16+Datos!AD16-(Datos!T16+Datos!AL16))/(Datos!T16+Datos!AL16))
     ),IF(D_I="SI",(Datos!J16-Datos!T16)/Datos!T16,(Datos!J16+Datos!AD16-(Datos!T16+Datos!AL16))/(Datos!T16+Datos!AL16))," - ")</f>
        <v>0.38120805369127519</v>
      </c>
      <c r="D16" s="455">
        <f>IF(ISNUMBER(
   IF(D_I="SI",(Datos!K16-Datos!U16)/Datos!U16,(Datos!K16+Datos!AE16-(Datos!U16+Datos!AM16))/(Datos!U16+Datos!AM16))
     ),IF(D_I="SI",(Datos!K16-Datos!U16)/Datos!U16,(Datos!K16+Datos!AE16-(Datos!U16+Datos!AM16))/(Datos!U16+Datos!AM16))," - ")</f>
        <v>0.2561307901907357</v>
      </c>
      <c r="E16" s="455">
        <f>IF(ISNUMBER(
   IF(D_I="SI",(Datos!L16-Datos!V16)/Datos!V16,(Datos!L16+Datos!AF16-(Datos!V16+Datos!AN16))/(Datos!V16+Datos!AN16))
     ),IF(D_I="SI",(Datos!L16-Datos!V16)/Datos!V16,(Datos!L16+Datos!AF16-(Datos!V16+Datos!AN16))/(Datos!V16+Datos!AN16))," - ")</f>
        <v>0.46917808219178081</v>
      </c>
      <c r="F16" s="455">
        <f>IF(ISNUMBER((Datos!M16-Datos!W16)/Datos!W16),(Datos!M16-Datos!W16)/Datos!W16," - ")</f>
        <v>3.6900369003690037E-2</v>
      </c>
      <c r="G16" s="456">
        <f>IF(ISNUMBER((Datos!N16-Datos!X16)/Datos!X16),(Datos!N16-Datos!X16)/Datos!X16," - ")</f>
        <v>0.1611047180667434</v>
      </c>
      <c r="H16" s="454">
        <f>IF(ISNUMBER(((NºAsuntos!G16/NºAsuntos!E16)-Datos!BD16)/Datos!BD16),((NºAsuntos!G16/NºAsuntos!E16)-Datos!BD16)/Datos!BD16," - ")</f>
        <v>-9.0556424983383774E-2</v>
      </c>
      <c r="I16" s="455">
        <f>IF(ISNUMBER(((NºAsuntos!I16/NºAsuntos!G16)-Datos!BE16)/Datos!BE16),((NºAsuntos!I16/NºAsuntos!G16)-Datos!BE16)/Datos!BE16," - ")</f>
        <v>0.16960597866460642</v>
      </c>
      <c r="J16" s="460">
        <f>IF(ISNUMBER((('Resol  Asuntos'!D16/NºAsuntos!G16)-Datos!BF16)/Datos!BF16),(('Resol  Asuntos'!D16/NºAsuntos!G16)-Datos!BF16)/Datos!BF16," - ")</f>
        <v>-0.17452833964348316</v>
      </c>
      <c r="K16" s="461">
        <f>IF(ISNUMBER((((NºAsuntos!C16+NºAsuntos!E16)/NºAsuntos!G16)-Datos!BG16)/Datos!BG16),(((NºAsuntos!C16+NºAsuntos!E16)/NºAsuntos!G16)-Datos!BG16)/Datos!BG16," - ")</f>
        <v>-3.1213589918225537E-2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7.8431372549019607E-2</v>
      </c>
      <c r="C17" s="455">
        <f>IF(ISNUMBER(
   IF(D_I="SI",(Datos!J17-Datos!T17)/Datos!T17,(Datos!J17+Datos!AD17-(Datos!T17+Datos!AL17))/(Datos!T17+Datos!AL17))
     ),IF(D_I="SI",(Datos!J17-Datos!T17)/Datos!T17,(Datos!J17+Datos!AD17-(Datos!T17+Datos!AL17))/(Datos!T17+Datos!AL17))," - ")</f>
        <v>-8.7999999999999995E-2</v>
      </c>
      <c r="D17" s="455">
        <f>IF(ISNUMBER(
   IF(D_I="SI",(Datos!K17-Datos!U17)/Datos!U17,(Datos!K17+Datos!AE17-(Datos!U17+Datos!AM17))/(Datos!U17+Datos!AM17))
     ),IF(D_I="SI",(Datos!K17-Datos!U17)/Datos!U17,(Datos!K17+Datos!AE17-(Datos!U17+Datos!AM17))/(Datos!U17+Datos!AM17))," - ")</f>
        <v>-0.17760617760617761</v>
      </c>
      <c r="E17" s="455">
        <f>IF(ISNUMBER(
   IF(D_I="SI",(Datos!L17-Datos!V17)/Datos!V17,(Datos!L17+Datos!AF17-(Datos!V17+Datos!AN17))/(Datos!V17+Datos!AN17))
     ),IF(D_I="SI",(Datos!L17-Datos!V17)/Datos!V17,(Datos!L17+Datos!AF17-(Datos!V17+Datos!AN17))/(Datos!V17+Datos!AN17))," - ")</f>
        <v>0.13636363636363635</v>
      </c>
      <c r="F17" s="455">
        <f>IF(ISNUMBER((Datos!M17-Datos!W17)/Datos!W17),(Datos!M17-Datos!W17)/Datos!W17," - ")</f>
        <v>-0.18518518518518517</v>
      </c>
      <c r="G17" s="456">
        <f>IF(ISNUMBER((Datos!N17-Datos!X17)/Datos!X17),(Datos!N17-Datos!X17)/Datos!X17," - ")</f>
        <v>5.7692307692307696E-2</v>
      </c>
      <c r="H17" s="454">
        <f>IF(ISNUMBER(((NºAsuntos!G17/NºAsuntos!E17)-Datos!BD17)/Datos!BD17),((NºAsuntos!G17/NºAsuntos!E17)-Datos!BD17)/Datos!BD17," - ")</f>
        <v>-9.8252387726071949E-2</v>
      </c>
      <c r="I17" s="455">
        <f>IF(ISNUMBER(((NºAsuntos!I17/NºAsuntos!G17)-Datos!BE17)/Datos!BE17),((NºAsuntos!I17/NºAsuntos!G17)-Datos!BE17)/Datos!BE17," - ")</f>
        <v>0.38177550149381151</v>
      </c>
      <c r="J17" s="460">
        <f>IF(ISNUMBER((('Resol  Asuntos'!D17/NºAsuntos!G17)-Datos!BF17)/Datos!BF17),(('Resol  Asuntos'!D17/NºAsuntos!G17)-Datos!BF17)/Datos!BF17," - ")</f>
        <v>-9.2157885585115052E-3</v>
      </c>
      <c r="K17" s="461">
        <f>IF(ISNUMBER((((NºAsuntos!C17+NºAsuntos!E17)/NºAsuntos!G17)-Datos!BG17)/Datos!BG17),(((NºAsuntos!C17+NºAsuntos!E17)/NºAsuntos!G17)-Datos!BG17)/Datos!BG17," - ")</f>
        <v>0.16760029876227067</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-3.6168132942326493E-2</v>
      </c>
      <c r="C18" s="854">
        <f>IF(ISNUMBER(
   IF(Criterios!B14="SI",(Datos!J18-Datos!T18)/Datos!T18,(Datos!J18+Datos!AD18-(Datos!T18+Datos!AL18))/(Datos!T18+Datos!AL18))
     ),IF(Criterios!B14="SI",(Datos!J18-Datos!T18)/Datos!T18,(Datos!J18+Datos!AD18-(Datos!T18+Datos!AL18))/(Datos!T18+Datos!AL18))," - ")</f>
        <v>0.31379310344827588</v>
      </c>
      <c r="D18" s="854">
        <f>IF(ISNUMBER(
   IF(Criterios!B14="SI",(Datos!K18-Datos!U18)/Datos!U18,(Datos!K18+Datos!AE18-(Datos!U18+Datos!AM18))/(Datos!U18+Datos!AM18))
     ),IF(Criterios!B14="SI",(Datos!K18-Datos!U18)/Datos!U18,(Datos!K18+Datos!AE18-(Datos!U18+Datos!AM18))/(Datos!U18+Datos!AM18))," - ")</f>
        <v>0.19108280254777071</v>
      </c>
      <c r="E18" s="854">
        <f>IF(ISNUMBER(
   IF(Criterios!B14="SI",(Datos!L18-Datos!V18)/Datos!V18,(Datos!L18+Datos!AF18-(Datos!V18+Datos!AN18))/(Datos!V18+Datos!AN18))
     ),IF(Criterios!B14="SI",(Datos!L18-Datos!V18)/Datos!V18,(Datos!L18+Datos!AF18-(Datos!V18+Datos!AN18))/(Datos!V18+Datos!AN18))," - ")</f>
        <v>0.43204868154158216</v>
      </c>
      <c r="F18" s="855">
        <f>IF(ISNUMBER((Datos!M18-Datos!W18)/Datos!W18),(Datos!M18-Datos!W18)/Datos!W18," - ")</f>
        <v>1.6778523489932886E-2</v>
      </c>
      <c r="G18" s="856">
        <f>IF(ISNUMBER((Datos!N18-Datos!X18)/Datos!X18),(Datos!N18-Datos!X18)/Datos!X18," - ")</f>
        <v>0.15005138746145941</v>
      </c>
      <c r="H18" s="856">
        <f>IF(ISNUMBER(((NºAsuntos!G18/NºAsuntos!E18)-Datos!BD18)/Datos!BD18),((NºAsuntos!G18/NºAsuntos!E18)-Datos!BD18)/Datos!BD18," - ")</f>
        <v>-9.3401541367838556E-2</v>
      </c>
      <c r="I18" s="856">
        <f>IF(ISNUMBER(((NºAsuntos!I18/NºAsuntos!G18)-Datos!BE18)/Datos!BE18),((NºAsuntos!I18/NºAsuntos!G18)-Datos!BE18)/Datos!BE18," - ")</f>
        <v>0.2023082513477456</v>
      </c>
      <c r="J18" s="856">
        <f>IF(ISNUMBER((('Resol  Asuntos'!D18/NºAsuntos!G18)-Datos!BF18)/Datos!BF18),(('Resol  Asuntos'!D18/NºAsuntos!G18)-Datos!BF18)/Datos!BF18," - ")</f>
        <v>-0.14634102573305097</v>
      </c>
      <c r="K18" s="856">
        <f>IF(ISNUMBER((((NºAsuntos!C18+NºAsuntos!E18)/NºAsuntos!G18)-Datos!BG18)/Datos!BG18),(((NºAsuntos!C18+NºAsuntos!E18)/NºAsuntos!G18)-Datos!BG18)/Datos!BG18," - ")</f>
        <v>-5.7617756410629044E-3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8.7242437527400268E-2</v>
      </c>
      <c r="C19" s="801">
        <f>IF(ISNUMBER(
   IF(J_V="SI",(Datos!J19-Datos!T19)/Datos!T19,(Datos!J19+Datos!Z19-(Datos!T19+Datos!AH19))/(Datos!T19+Datos!AH19))
     ),IF(J_V="SI",(Datos!J19-Datos!T19)/Datos!T19,(Datos!J19+Datos!Z19-(Datos!T19+Datos!AH19))/(Datos!T19+Datos!AH19))," - ")</f>
        <v>0.11727891156462585</v>
      </c>
      <c r="D19" s="801">
        <f>IF(ISNUMBER(
   IF(J_V="SI",(Datos!K19-Datos!U19)/Datos!U19,(Datos!K19+Datos!AA19-(Datos!U19+Datos!AI19))/(Datos!U19+Datos!AI19))
     ),IF(J_V="SI",(Datos!K19-Datos!U19)/Datos!U19,(Datos!K19+Datos!AA19-(Datos!U19+Datos!AI19))/(Datos!U19+Datos!AI19))," - ")</f>
        <v>0.16473317865429235</v>
      </c>
      <c r="E19" s="801">
        <f>IF(ISNUMBER(
   IF(J_V="SI",(Datos!L19-Datos!V19)/Datos!V19,(Datos!L19+Datos!AB19-(Datos!V19+Datos!AJ19))/(Datos!V19+Datos!AJ19))
     ),IF(J_V="SI",(Datos!L19-Datos!V19)/Datos!V19,(Datos!L19+Datos!AB19-(Datos!V19+Datos!AJ19))/(Datos!V19+Datos!AJ19))," - ")</f>
        <v>0.13870967741935483</v>
      </c>
      <c r="F19" s="802">
        <f>IF(ISNUMBER((Datos!M19-Datos!W19)/Datos!W19),(Datos!M19-Datos!W19)/Datos!W19," - ")</f>
        <v>7.4391988555078684E-2</v>
      </c>
      <c r="G19" s="803">
        <f>IF(ISNUMBER((Datos!N19-Datos!X19)/Datos!X19),(Datos!N19-Datos!X19)/Datos!X19," - ")</f>
        <v>0.13402061855670103</v>
      </c>
      <c r="H19" s="804">
        <f>IF(ISNUMBER((Tasas!B19-Datos!BD19)/Datos!BD19),(Tasas!B19-Datos!BD19)/Datos!BD19," - ")</f>
        <v>4.2473071494039109E-2</v>
      </c>
      <c r="I19" s="805">
        <f>IF(ISNUMBER((Tasas!C19-Datos!BE19)/Datos!BE19),(Tasas!C19-Datos!BE19)/Datos!BE19," - ")</f>
        <v>-2.2342886518442375E-2</v>
      </c>
      <c r="J19" s="806">
        <f>IF(ISNUMBER((Tasas!D19-Datos!BF19)/Datos!BF19),(Tasas!D19-Datos!BF19)/Datos!BF19," - ")</f>
        <v>-0.34272898213466219</v>
      </c>
      <c r="K19" s="806">
        <f>IF(ISNUMBER((Tasas!E19-Datos!BG19)/Datos!BG19),(Tasas!E19-Datos!BG19)/Datos!BG19," - ")</f>
        <v>-5.0618881090814673E-2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TUPudw7qiuFJcS1Bv/+6LG8Q7/cONVcjQzvLgzWUqhcEnBtZw48JT8pDjIdCb1NLl58qDkyiDNS1/6jpmJ7yKw==" saltValue="lE8zDZUbbRIeqeMknXQW3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GRANADA</v>
      </c>
    </row>
    <row r="4" spans="1:7" ht="11.25" customHeight="1" thickBot="1">
      <c r="B4" s="390" t="str">
        <f>Criterios!A11 &amp;"  "&amp;Criterios!B11</f>
        <v>Resumenes por Partidos Judiciales  GUADIX</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0.60606060606060608</v>
      </c>
      <c r="C10" s="442">
        <f>IF(ISNUMBER(NºAsuntos!I10/NºAsuntos!G10),NºAsuntos!I10/NºAsuntos!G10," - ")</f>
        <v>2.0499999999999998</v>
      </c>
      <c r="D10" s="443">
        <f>IF(ISNUMBER('Resol  Asuntos'!D10/NºAsuntos!G10),'Resol  Asuntos'!D10/NºAsuntos!G10," - ")</f>
        <v>0.4</v>
      </c>
      <c r="E10" s="444">
        <f>IF(ISNUMBER((NºAsuntos!C10+NºAsuntos!E10)/NºAsuntos!G10),(NºAsuntos!C10+NºAsuntos!E10)/NºAsuntos!G10," - ")</f>
        <v>3.05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1.0850587576944599</v>
      </c>
      <c r="C12" s="442">
        <f>IF(ISNUMBER(NºAsuntos!I12/NºAsuntos!G12),NºAsuntos!I12/NºAsuntos!G12," - ")</f>
        <v>0.70706549767921612</v>
      </c>
      <c r="D12" s="443">
        <f>IF(ISNUMBER('Resol  Asuntos'!D12/NºAsuntos!G12),'Resol  Asuntos'!D12/NºAsuntos!G12," - ")</f>
        <v>0.22692109334708613</v>
      </c>
      <c r="E12" s="444">
        <f>IF(ISNUMBER((NºAsuntos!C12+NºAsuntos!E12)/NºAsuntos!G12),(NºAsuntos!C12+NºAsuntos!E12)/NºAsuntos!G12," - ")</f>
        <v>1.6776689014956163</v>
      </c>
      <c r="G12" s="462"/>
    </row>
    <row r="13" spans="1:7" ht="14.25" thickTop="1" thickBot="1">
      <c r="A13" s="847" t="str">
        <f>Datos!A13</f>
        <v>TOTAL</v>
      </c>
      <c r="B13" s="857">
        <f>IF(ISNUMBER(NºAsuntos!G13/NºAsuntos!E13),NºAsuntos!G13/NºAsuntos!E13," - ")</f>
        <v>1.0763736263736263</v>
      </c>
      <c r="C13" s="858">
        <f>IF(ISNUMBER(NºAsuntos!I13/NºAsuntos!G13),NºAsuntos!I13/NºAsuntos!G13," - ")</f>
        <v>0.72077590607452779</v>
      </c>
      <c r="D13" s="859">
        <f>IF(ISNUMBER('Resol  Asuntos'!D13/NºAsuntos!G13),'Resol  Asuntos'!D13/NºAsuntos!G13," - ")</f>
        <v>0.22868810617662072</v>
      </c>
      <c r="E13" s="860">
        <f>IF(ISNUMBER((NºAsuntos!C13+NºAsuntos!E13)/NºAsuntos!G13),(NºAsuntos!C13+NºAsuntos!E13)/NºAsuntos!G13," - ")</f>
        <v>1.6916794282797345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0.89601554907677361</v>
      </c>
      <c r="C16" s="442">
        <f>IF(ISNUMBER(NºAsuntos!I16/NºAsuntos!G16),NºAsuntos!I16/NºAsuntos!G16," - ")</f>
        <v>0.69793926247288507</v>
      </c>
      <c r="D16" s="443">
        <f>IF(ISNUMBER('Resol  Asuntos'!D16/NºAsuntos!G16),'Resol  Asuntos'!D16/NºAsuntos!G16," - ")</f>
        <v>0.15238611713665945</v>
      </c>
      <c r="E16" s="444">
        <f>IF(ISNUMBER((NºAsuntos!C16+NºAsuntos!E16)/NºAsuntos!G16),(NºAsuntos!C16+NºAsuntos!E16)/NºAsuntos!G16," - ")</f>
        <v>1.5911062906724511</v>
      </c>
      <c r="G16" s="462"/>
    </row>
    <row r="17" spans="1:7" ht="21.75" thickBot="1">
      <c r="A17" s="401" t="str">
        <f>Datos!A17</f>
        <v>Jdos. Violencia contra la mujer/Secc Viol. TI.</v>
      </c>
      <c r="B17" s="441">
        <f>IF(ISNUMBER(NºAsuntos!G17/NºAsuntos!E17),NºAsuntos!G17/NºAsuntos!E17," - ")</f>
        <v>0.93421052631578949</v>
      </c>
      <c r="C17" s="442">
        <f>IF(ISNUMBER(NºAsuntos!I17/NºAsuntos!G17),NºAsuntos!I17/NºAsuntos!G17," - ")</f>
        <v>0.58685446009389675</v>
      </c>
      <c r="D17" s="443">
        <f>IF(ISNUMBER('Resol  Asuntos'!D17/NºAsuntos!G17),'Resol  Asuntos'!D17/NºAsuntos!G17," - ")</f>
        <v>0.10328638497652583</v>
      </c>
      <c r="E17" s="444">
        <f>IF(ISNUMBER((NºAsuntos!C17+NºAsuntos!E17)/NºAsuntos!G17),(NºAsuntos!C17+NºAsuntos!E17)/NºAsuntos!G17," - ")</f>
        <v>1.5868544600938967</v>
      </c>
      <c r="G17" s="462"/>
    </row>
    <row r="18" spans="1:7" ht="14.25" thickTop="1" thickBot="1">
      <c r="A18" s="847" t="str">
        <f>Datos!A18</f>
        <v>TOTAL</v>
      </c>
      <c r="B18" s="857">
        <f>IF(ISNUMBER(NºAsuntos!G18/NºAsuntos!E18),NºAsuntos!G18/NºAsuntos!E18," - ")</f>
        <v>0.89982502187226598</v>
      </c>
      <c r="C18" s="858">
        <f>IF(ISNUMBER(NºAsuntos!I18/NºAsuntos!G18),NºAsuntos!I18/NºAsuntos!G18," - ")</f>
        <v>0.68643655809431214</v>
      </c>
      <c r="D18" s="861">
        <f>IF(ISNUMBER('Resol  Asuntos'!D18/NºAsuntos!G18),'Resol  Asuntos'!D18/NºAsuntos!G18," - ")</f>
        <v>0.14730189596499757</v>
      </c>
      <c r="E18" s="860">
        <f>IF(ISNUMBER((NºAsuntos!C18+NºAsuntos!E18)/NºAsuntos!G18),(NºAsuntos!C18+NºAsuntos!E18)/NºAsuntos!G18," - ")</f>
        <v>1.5906660184735051</v>
      </c>
      <c r="G18" s="462"/>
    </row>
    <row r="19" spans="1:7" ht="15.75" customHeight="1" thickTop="1" thickBot="1">
      <c r="A19" s="792" t="str">
        <f>Datos!A19</f>
        <v>TOTAL JURISDICCIONES</v>
      </c>
      <c r="B19" s="807">
        <f>IF(ISNUMBER(NºAsuntos!G19/NºAsuntos!E19),NºAsuntos!G19/NºAsuntos!E19," - ")</f>
        <v>0.97808085728202632</v>
      </c>
      <c r="C19" s="808">
        <f>IF(ISNUMBER(NºAsuntos!I19/NºAsuntos!G19),NºAsuntos!I19/NºAsuntos!G19," - ")</f>
        <v>0.70318725099601598</v>
      </c>
      <c r="D19" s="809">
        <f>IF(ISNUMBER('Resol  Asuntos'!D19/NºAsuntos!G19),'Resol  Asuntos'!D19/NºAsuntos!G19," - ")</f>
        <v>0.18700199203187251</v>
      </c>
      <c r="E19" s="810">
        <f>IF(ISNUMBER((NºAsuntos!C19+NºAsuntos!E19)/NºAsuntos!G19),(NºAsuntos!C19+NºAsuntos!E19)/NºAsuntos!G19," - ")</f>
        <v>1.6399402390438247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fGnrf1EC6nzxiSPRL3CJGrxdgItLHowhNTodsKjJmCdZaaX0uKz25OeUZt5T/Rxvd76uF57RI5X/92g2ShbIOA==" saltValue="FHs4UMliCCpqohcVjOrEe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GRANADA</v>
      </c>
      <c r="N2" s="261" t="str">
        <f>Criterios!A11 &amp;"  "&amp;Criterios!B11</f>
        <v>Resumenes por Partidos Judiciales  GUADIX</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28</v>
      </c>
      <c r="G10" s="332">
        <f>IF(ISNUMBER(Datos!I10),Datos!I10," - ")</f>
        <v>28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4</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20</v>
      </c>
      <c r="X10" s="225">
        <f>IF(ISNUMBER(Datos!Q10),Datos!Q10," - ")</f>
        <v>0</v>
      </c>
      <c r="Y10" s="333">
        <f t="shared" ref="Y10:Y12" si="0">SUM(W10:X10)</f>
        <v>20</v>
      </c>
      <c r="Z10" s="334" t="str">
        <f>IF(ISNUMBER(Datos!CC10),Datos!CC10," - ")</f>
        <v xml:space="preserve"> - </v>
      </c>
      <c r="AA10" s="331">
        <f>IF(ISNUMBER(Datos!L10),Datos!L10,"-")</f>
        <v>41</v>
      </c>
      <c r="AB10" s="333">
        <f>IF(ISNUMBER(Datos!R10),Datos!R10," - ")</f>
        <v>6</v>
      </c>
      <c r="AC10" s="333">
        <f t="shared" ref="AC10:AC12" si="1">IF(ISNUMBER(AA10+AB10),AA10+AB10," - ")</f>
        <v>47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8</v>
      </c>
      <c r="AJ10" s="230" t="str">
        <f>IF(ISNUMBER(Datos!BW10),Datos!BW10," - ")</f>
        <v xml:space="preserve"> - </v>
      </c>
      <c r="AK10" s="231" t="str">
        <f>IF(ISNUMBER(Datos!BX10),Datos!BX10," - ")</f>
        <v xml:space="preserve"> - </v>
      </c>
      <c r="AL10" s="242">
        <f>IF(ISNUMBER(NºAsuntos!G10/NºAsuntos!E10),NºAsuntos!G10/NºAsuntos!E10," - ")</f>
        <v>0.60606060606060608</v>
      </c>
      <c r="AM10" s="259">
        <f>IF(ISNUMBER(((NºAsuntos!I10/NºAsuntos!G10)*11)/factor_trimestre),((NºAsuntos!I10/NºAsuntos!G10)*11)/factor_trimestre," - ")</f>
        <v>22.549999999999997</v>
      </c>
      <c r="AN10" s="243">
        <f>IF(ISNUMBER('Resol  Asuntos'!D10/NºAsuntos!G10),'Resol  Asuntos'!D10/NºAsuntos!G10," - ")</f>
        <v>0.4</v>
      </c>
      <c r="AO10" s="244">
        <f>IF(ISNUMBER((NºAsuntos!C10+NºAsuntos!E10)/NºAsuntos!G10),(NºAsuntos!C10+NºAsuntos!E10)/NºAsuntos!G10," - ")</f>
        <v>3.05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590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831</v>
      </c>
      <c r="Y12" s="333">
        <f t="shared" si="0"/>
        <v>831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1303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440</v>
      </c>
      <c r="AJ12" s="228" t="str">
        <f>IF(ISNUMBER(Datos!BW12),Datos!BW12," - ")</f>
        <v xml:space="preserve"> - </v>
      </c>
      <c r="AK12" s="227" t="str">
        <f>IF(ISNUMBER(Datos!BX12),Datos!BX12," - ")</f>
        <v xml:space="preserve"> - </v>
      </c>
      <c r="AL12" s="242">
        <f>IF(ISNUMBER(NºAsuntos!G12/NºAsuntos!E12),NºAsuntos!G12/NºAsuntos!E12," - ")</f>
        <v>1.0850587576944599</v>
      </c>
      <c r="AM12" s="259">
        <f>IF(ISNUMBER(((NºAsuntos!I12/NºAsuntos!G12)*11)/factor_trimestre),((NºAsuntos!I12/NºAsuntos!G12)*11)/factor_trimestre," - ")</f>
        <v>7.7777204744713773</v>
      </c>
      <c r="AN12" s="243">
        <f>IF(ISNUMBER('Resol  Asuntos'!D12/NºAsuntos!G12),'Resol  Asuntos'!D12/NºAsuntos!G12," - ")</f>
        <v>0.22692109334708613</v>
      </c>
      <c r="AO12" s="244">
        <f>IF(ISNUMBER((NºAsuntos!C12+NºAsuntos!E12)/NºAsuntos!G12),(NºAsuntos!C12+NºAsuntos!E12)/NºAsuntos!G12," - ")</f>
        <v>1.6776689014956163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28</v>
      </c>
      <c r="G13" s="865">
        <f t="shared" si="3"/>
        <v>28</v>
      </c>
      <c r="H13" s="864">
        <f t="shared" si="3"/>
        <v>0</v>
      </c>
      <c r="I13" s="866">
        <f t="shared" si="3"/>
        <v>0</v>
      </c>
      <c r="J13" s="866">
        <f t="shared" si="3"/>
        <v>0</v>
      </c>
      <c r="K13" s="866">
        <f t="shared" si="3"/>
        <v>0</v>
      </c>
      <c r="L13" s="866">
        <f t="shared" si="3"/>
        <v>594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20</v>
      </c>
      <c r="X13" s="866">
        <f t="shared" si="4"/>
        <v>831</v>
      </c>
      <c r="Y13" s="867">
        <f t="shared" si="4"/>
        <v>851</v>
      </c>
      <c r="Z13" s="867">
        <f t="shared" si="4"/>
        <v>0</v>
      </c>
      <c r="AA13" s="867">
        <f t="shared" si="4"/>
        <v>41</v>
      </c>
      <c r="AB13" s="867">
        <f t="shared" si="4"/>
        <v>1309</v>
      </c>
      <c r="AC13" s="867">
        <f t="shared" si="4"/>
        <v>47</v>
      </c>
      <c r="AD13" s="867">
        <f t="shared" si="4"/>
        <v>0</v>
      </c>
      <c r="AE13" s="871">
        <f t="shared" si="4"/>
        <v>0</v>
      </c>
      <c r="AF13" s="864">
        <f t="shared" si="4"/>
        <v>0</v>
      </c>
      <c r="AG13" s="872">
        <f t="shared" si="4"/>
        <v>0</v>
      </c>
      <c r="AH13" s="869">
        <f t="shared" si="4"/>
        <v>0</v>
      </c>
      <c r="AI13" s="864">
        <f t="shared" si="4"/>
        <v>448</v>
      </c>
      <c r="AJ13" s="866">
        <f t="shared" si="4"/>
        <v>0</v>
      </c>
      <c r="AK13" s="869">
        <f>SUBTOTAL(9,AK9:AK12)</f>
        <v>0</v>
      </c>
      <c r="AL13" s="873">
        <f>IF(ISNUMBER(NºAsuntos!G13/NºAsuntos!E13),NºAsuntos!G13/NºAsuntos!E13," - ")</f>
        <v>1.0763736263736263</v>
      </c>
      <c r="AM13" s="873">
        <f>IF(ISNUMBER(((NºAsuntos!I13/NºAsuntos!G13)*11)/factor_trimestre),((NºAsuntos!I13/NºAsuntos!G13)*11)/factor_trimestre," - ")</f>
        <v>7.9285349668198055</v>
      </c>
      <c r="AN13" s="874">
        <f>IF(ISNUMBER('Resol  Asuntos'!D13/NºAsuntos!G13),'Resol  Asuntos'!D13/NºAsuntos!G13," - ")</f>
        <v>0.22868810617662072</v>
      </c>
      <c r="AO13" s="875">
        <f>IF(ISNUMBER((NºAsuntos!C13+NºAsuntos!E13)/NºAsuntos!G13),(NºAsuntos!C13+NºAsuntos!E13)/NºAsuntos!G13," - ")</f>
        <v>1.6916794282797345</v>
      </c>
      <c r="AP13" s="876" t="str">
        <f t="shared" si="2"/>
        <v xml:space="preserve"> - </v>
      </c>
      <c r="AQ13" s="876">
        <f>IF(ISNUMBER((H13-W13+K13)/(F13)),(H13-W13+K13)/(F13)," - ")</f>
        <v>-0.7142857142857143</v>
      </c>
      <c r="AR13" s="877">
        <f>IF(ISNUMBER((Datos!P13-Datos!Q13)/(Datos!R13-Datos!P13+Datos!Q13)),(Datos!P13-Datos!Q13)/(Datos!R13-Datos!P13+Datos!Q13)," - ")</f>
        <v>-0.15329883570504527</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1073</v>
      </c>
      <c r="G16" s="332">
        <f>IF(ISNUMBER(IF(D_I="SI",Datos!I16,Datos!I16+Datos!AC16)),IF(D_I="SI",Datos!I16,Datos!I16+Datos!AC16)," - ")</f>
        <v>876</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78</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1844</v>
      </c>
      <c r="X16" s="225">
        <f>IF(ISNUMBER(Datos!Q16),Datos!Q16," - ")</f>
        <v>28</v>
      </c>
      <c r="Y16" s="333">
        <f t="shared" ref="Y16:Y17" si="7">SUM(W16:X16)</f>
        <v>1872</v>
      </c>
      <c r="Z16" s="334" t="str">
        <f>IF(ISNUMBER(Datos!CC16),Datos!CC16," - ")</f>
        <v xml:space="preserve"> - </v>
      </c>
      <c r="AA16" s="331">
        <f>IF(ISNUMBER(IF(D_I="SI",Datos!L16,Datos!L16+Datos!AF16)),IF(D_I="SI",Datos!L16,Datos!L16+Datos!AF16)," - ")</f>
        <v>1287</v>
      </c>
      <c r="AB16" s="333">
        <f>IF(ISNUMBER(Datos!R16),Datos!R16," - ")</f>
        <v>130</v>
      </c>
      <c r="AC16" s="333">
        <f t="shared" si="6"/>
        <v>1417</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281</v>
      </c>
      <c r="AJ16" s="230" t="str">
        <f>IF(ISNUMBER(Datos!BW16),Datos!BW16," - ")</f>
        <v xml:space="preserve"> - </v>
      </c>
      <c r="AK16" s="231" t="str">
        <f>IF(ISNUMBER(Datos!BX16),Datos!BX16," - ")</f>
        <v xml:space="preserve"> - </v>
      </c>
      <c r="AL16" s="242">
        <f>IF(ISNUMBER(NºAsuntos!G16/NºAsuntos!E16),NºAsuntos!G16/NºAsuntos!E16," - ")</f>
        <v>0.89601554907677361</v>
      </c>
      <c r="AM16" s="259">
        <f>IF(ISNUMBER(((NºAsuntos!I16/NºAsuntos!G16)*11)/factor_trimestre),((NºAsuntos!I16/NºAsuntos!G16)*11)/factor_trimestre," - ")</f>
        <v>7.6773318872017358</v>
      </c>
      <c r="AN16" s="243">
        <f>IF(ISNUMBER('Resol  Asuntos'!D16/NºAsuntos!G16),'Resol  Asuntos'!D16/NºAsuntos!G16," - ")</f>
        <v>0.15238611713665945</v>
      </c>
      <c r="AO16" s="244">
        <f>IF(ISNUMBER((NºAsuntos!C16+NºAsuntos!E16)/NºAsuntos!G16),(NºAsuntos!C16+NºAsuntos!E16)/NºAsuntos!G16," - ")</f>
        <v>1.5911062906724511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110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213</v>
      </c>
      <c r="X17" s="225">
        <f>IF(ISNUMBER(Datos!Q17),Datos!Q17," - ")</f>
        <v>0</v>
      </c>
      <c r="Y17" s="333">
        <f t="shared" si="7"/>
        <v>213</v>
      </c>
      <c r="Z17" s="334" t="str">
        <f>IF(ISNUMBER(Datos!CC17),Datos!CC17," - ")</f>
        <v xml:space="preserve"> - </v>
      </c>
      <c r="AA17" s="331">
        <f>IF(ISNUMBER(Datos!L17),Datos!L17,"-")</f>
        <v>125</v>
      </c>
      <c r="AB17" s="333">
        <f>IF(ISNUMBER(Datos!R17),Datos!R17," - ")</f>
        <v>4</v>
      </c>
      <c r="AC17" s="333">
        <f t="shared" si="6"/>
        <v>129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22</v>
      </c>
      <c r="AJ17" s="230" t="str">
        <f>IF(ISNUMBER(Datos!BW17),Datos!BW17," - ")</f>
        <v xml:space="preserve"> - </v>
      </c>
      <c r="AK17" s="231" t="str">
        <f>IF(ISNUMBER(Datos!BX17),Datos!BX17," - ")</f>
        <v xml:space="preserve"> - </v>
      </c>
      <c r="AL17" s="242">
        <f>IF(ISNUMBER(NºAsuntos!G17/NºAsuntos!E17),NºAsuntos!G17/NºAsuntos!E17," - ")</f>
        <v>0.93421052631578949</v>
      </c>
      <c r="AM17" s="259">
        <f>IF(ISNUMBER(((NºAsuntos!I17/NºAsuntos!G17)*11)/factor_trimestre),((NºAsuntos!I17/NºAsuntos!G17)*11)/factor_trimestre," - ")</f>
        <v>6.455399061032864</v>
      </c>
      <c r="AN17" s="243">
        <f>IF(ISNUMBER('Resol  Asuntos'!D17/NºAsuntos!G17),'Resol  Asuntos'!D17/NºAsuntos!G17," - ")</f>
        <v>0.10328638497652583</v>
      </c>
      <c r="AO17" s="244">
        <f>IF(ISNUMBER((NºAsuntos!C17+NºAsuntos!E17)/NºAsuntos!G17),(NºAsuntos!C17+NºAsuntos!E17)/NºAsuntos!G17," - ")</f>
        <v>1.5868544600938967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1073</v>
      </c>
      <c r="G18" s="865">
        <f>SUBTOTAL(9,G15:G17)</f>
        <v>986</v>
      </c>
      <c r="H18" s="864">
        <f t="shared" ref="H18:O18" si="10">SUBTOTAL(9,H14:H17)</f>
        <v>0</v>
      </c>
      <c r="I18" s="866">
        <f t="shared" si="10"/>
        <v>0</v>
      </c>
      <c r="J18" s="866">
        <f t="shared" si="10"/>
        <v>0</v>
      </c>
      <c r="K18" s="866">
        <f t="shared" si="10"/>
        <v>0</v>
      </c>
      <c r="L18" s="866">
        <f t="shared" si="10"/>
        <v>78</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2057</v>
      </c>
      <c r="X18" s="866">
        <f t="shared" si="11"/>
        <v>28</v>
      </c>
      <c r="Y18" s="867">
        <f t="shared" si="11"/>
        <v>2085</v>
      </c>
      <c r="Z18" s="867">
        <f t="shared" si="11"/>
        <v>0</v>
      </c>
      <c r="AA18" s="867">
        <f t="shared" si="11"/>
        <v>1412</v>
      </c>
      <c r="AB18" s="867">
        <f t="shared" si="11"/>
        <v>134</v>
      </c>
      <c r="AC18" s="867">
        <f t="shared" si="11"/>
        <v>1546</v>
      </c>
      <c r="AD18" s="867">
        <f t="shared" si="11"/>
        <v>0</v>
      </c>
      <c r="AE18" s="871">
        <f t="shared" si="11"/>
        <v>0</v>
      </c>
      <c r="AF18" s="864">
        <f t="shared" si="11"/>
        <v>0</v>
      </c>
      <c r="AG18" s="872">
        <f t="shared" si="11"/>
        <v>0</v>
      </c>
      <c r="AH18" s="869">
        <f t="shared" si="11"/>
        <v>0</v>
      </c>
      <c r="AI18" s="864">
        <f t="shared" si="11"/>
        <v>303</v>
      </c>
      <c r="AJ18" s="866">
        <f t="shared" si="11"/>
        <v>0</v>
      </c>
      <c r="AK18" s="869">
        <f t="shared" si="11"/>
        <v>0</v>
      </c>
      <c r="AL18" s="873">
        <f>IF(ISNUMBER(NºAsuntos!G18/NºAsuntos!E18),NºAsuntos!G18/NºAsuntos!E18," - ")</f>
        <v>0.89982502187226598</v>
      </c>
      <c r="AM18" s="873">
        <f>IF(ISNUMBER(((NºAsuntos!I18/NºAsuntos!G18)*11)/factor_trimestre),((NºAsuntos!I18/NºAsuntos!G18)*11)/factor_trimestre," - ")</f>
        <v>7.5508021390374331</v>
      </c>
      <c r="AN18" s="874">
        <f>IF(ISNUMBER('Resol  Asuntos'!D18/NºAsuntos!G18),'Resol  Asuntos'!D18/NºAsuntos!G18," - ")</f>
        <v>0.14730189596499757</v>
      </c>
      <c r="AO18" s="875">
        <f>IF(ISNUMBER((NºAsuntos!C18+NºAsuntos!E18)/NºAsuntos!G18),(NºAsuntos!C18+NºAsuntos!E18)/NºAsuntos!G18," - ")</f>
        <v>1.5906660184735051</v>
      </c>
      <c r="AP18" s="876" t="str">
        <f t="shared" si="2"/>
        <v xml:space="preserve"> - </v>
      </c>
      <c r="AQ18" s="876">
        <f>IF(ISNUMBER((H18-W18+K18)/(F18)),(H18-W18+K18)/(F18)," - ")</f>
        <v>-1.9170549860205033</v>
      </c>
      <c r="AR18" s="877">
        <f>IF(ISNUMBER((Datos!P18-Datos!Q18)/(Datos!R18-Datos!P18+Datos!Q18)),(Datos!P18-Datos!Q18)/(Datos!R18-Datos!P18+Datos!Q18)," - ")</f>
        <v>0.59523809523809523</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1101</v>
      </c>
      <c r="G19" s="820">
        <f t="shared" si="13"/>
        <v>1014</v>
      </c>
      <c r="H19" s="819">
        <f t="shared" si="13"/>
        <v>0</v>
      </c>
      <c r="I19" s="821">
        <f t="shared" si="13"/>
        <v>0</v>
      </c>
      <c r="J19" s="821">
        <f t="shared" si="13"/>
        <v>0</v>
      </c>
      <c r="K19" s="880">
        <f t="shared" si="13"/>
        <v>0</v>
      </c>
      <c r="L19" s="821">
        <f t="shared" si="13"/>
        <v>672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2077</v>
      </c>
      <c r="X19" s="820">
        <f t="shared" si="14"/>
        <v>859</v>
      </c>
      <c r="Y19" s="827">
        <f t="shared" si="14"/>
        <v>2936</v>
      </c>
      <c r="Z19" s="827">
        <f t="shared" si="14"/>
        <v>0</v>
      </c>
      <c r="AA19" s="827">
        <f t="shared" si="14"/>
        <v>1453</v>
      </c>
      <c r="AB19" s="827">
        <f t="shared" si="14"/>
        <v>1443</v>
      </c>
      <c r="AC19" s="827">
        <f t="shared" si="14"/>
        <v>1593</v>
      </c>
      <c r="AD19" s="827">
        <f t="shared" si="14"/>
        <v>0</v>
      </c>
      <c r="AE19" s="829">
        <f t="shared" si="14"/>
        <v>0</v>
      </c>
      <c r="AF19" s="830">
        <f t="shared" si="14"/>
        <v>0</v>
      </c>
      <c r="AG19" s="831">
        <f t="shared" si="14"/>
        <v>0</v>
      </c>
      <c r="AH19" s="829">
        <f t="shared" si="14"/>
        <v>0</v>
      </c>
      <c r="AI19" s="819">
        <f t="shared" si="14"/>
        <v>751</v>
      </c>
      <c r="AJ19" s="819">
        <f t="shared" si="14"/>
        <v>0</v>
      </c>
      <c r="AK19" s="829">
        <f t="shared" si="14"/>
        <v>0</v>
      </c>
      <c r="AL19" s="883">
        <f>IF(ISNUMBER(NºAsuntos!G19/NºAsuntos!E19),NºAsuntos!G19/NºAsuntos!E19," - ")</f>
        <v>0.97808085728202632</v>
      </c>
      <c r="AM19" s="884">
        <f>IF(ISNUMBER(((NºAsuntos!I19/NºAsuntos!G19)*11)/factor_trimestre),((NºAsuntos!I19/NºAsuntos!G19)*11)/factor_trimestre," - ")</f>
        <v>7.735059760956176</v>
      </c>
      <c r="AN19" s="884">
        <f>IF(ISNUMBER('Resol  Asuntos'!D19/NºAsuntos!G19),'Resol  Asuntos'!D19/NºAsuntos!G19," - ")</f>
        <v>0.18700199203187251</v>
      </c>
      <c r="AO19" s="885">
        <f>IF(ISNUMBER((NºAsuntos!C19+NºAsuntos!E19)/NºAsuntos!G19),(NºAsuntos!C19+NºAsuntos!E19)/NºAsuntos!G19," - ")</f>
        <v>1.6399402390438247</v>
      </c>
      <c r="AP19" s="886" t="str">
        <f t="shared" si="2"/>
        <v xml:space="preserve"> - </v>
      </c>
      <c r="AQ19" s="887">
        <f>IF(OR(ISNUMBER(FIND("01",Criterios!A8,1)),ISNUMBER(FIND("02",Criterios!A8,1)),ISNUMBER(FIND("03",Criterios!A8,1)),ISNUMBER(FIND("04",Criterios!A8,1))),(I19-W19+K19)/(F19-K19),(H19-W19+K19)/(F19-K19))</f>
        <v>-1.8864668483197093</v>
      </c>
      <c r="AR19" s="888">
        <f>IF(ISNUMBER((Datos!P19-Datos!Q19)/(Datos!R19-Datos!P19+Datos!Q19)),(Datos!P19-Datos!Q19)/(Datos!R19-Datos!P19+Datos!Q19)," - ")</f>
        <v>-0.1147239263803681</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405.6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603.33103130315885</v>
      </c>
      <c r="G21" s="252">
        <f>IF(ISNUMBER(STDEV(G8:G18)),STDEV(G8:G18),"-")</f>
        <v>482.35961688350318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1027.9361361485448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194.74153811312743</v>
      </c>
      <c r="AJ21" s="251">
        <f t="shared" si="18"/>
        <v>0</v>
      </c>
      <c r="AK21" s="253">
        <f t="shared" si="18"/>
        <v>0</v>
      </c>
      <c r="AL21" s="248">
        <f t="shared" si="18"/>
        <v>0.17398576125771148</v>
      </c>
      <c r="AM21" s="249">
        <f t="shared" si="18"/>
        <v>6.1755800144969371</v>
      </c>
      <c r="AN21" s="249">
        <f t="shared" si="18"/>
        <v>0.10523634517230586</v>
      </c>
      <c r="AO21" s="250">
        <f t="shared" si="18"/>
        <v>0.58258031488828588</v>
      </c>
      <c r="AP21" s="290" t="str">
        <f t="shared" si="18"/>
        <v>-</v>
      </c>
      <c r="AQ21" s="291">
        <f t="shared" si="18"/>
        <v>0.85048630824647475</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aQkSgX19bF5zPQhNMemAsTqBn8w/PMkbZV1uQefYeHXxv4I9qPZ5xy4jIwPY6s0ci57cIX6C7roctEXouzzAOQ==" saltValue="StGSwd/kZO0TCScCUA9ol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GRANADA</v>
      </c>
      <c r="E3" s="262"/>
    </row>
    <row r="4" spans="2:20" ht="17.25" customHeight="1" thickBot="1">
      <c r="D4" s="261" t="str">
        <f>Criterios!A11 &amp;"  "&amp;Criterios!B11</f>
        <v>Resumenes por Partidos Judiciales  GUADIX</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0.6470588235294118</v>
      </c>
      <c r="E10" s="347">
        <f>IF(ISNUMBER((Datos!J10-Datos!T10)/Datos!T10),(Datos!J10-Datos!T10)/Datos!T10," - ")</f>
        <v>0.13793103448275862</v>
      </c>
      <c r="F10" s="347">
        <f>IF(ISNUMBER((Datos!K10-Datos!U10)/Datos!U10),(Datos!K10-Datos!U10)/Datos!U10," - ")</f>
        <v>0</v>
      </c>
      <c r="G10" s="348">
        <f>IF(ISNUMBER((Datos!L10-Datos!V10)/Datos!V10),(Datos!L10-Datos!V10)/Datos!V10," - ")</f>
        <v>0.4642857142857143</v>
      </c>
      <c r="H10" s="229">
        <f>IF(ISNUMBER((Datos!M10-Datos!W10)/Datos!W10),(Datos!M10-Datos!W10)/Datos!W10," - ")</f>
        <v>-0.2</v>
      </c>
      <c r="I10" s="349">
        <f>IF(ISNUMBER((Tasas!C10-Datos!BE10)/Datos!BE10),(Tasas!C10-Datos!BE10)/Datos!BE10," - ")</f>
        <v>0.46428571428571425</v>
      </c>
      <c r="J10" s="348">
        <f>IF(ISNUMBER((Tasas!D10-Datos!BF10)/Datos!BF10),(Tasas!D10-Datos!BF10)/Datos!BF10," - ")</f>
        <v>-0.19999999999999996</v>
      </c>
      <c r="K10" s="350">
        <f>IF(ISNUMBER((Tasas!E10-Datos!BG10)/Datos!BG10),(Tasas!E10-Datos!BG10)/Datos!BG10," - ")</f>
        <v>0.32608695652173914</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0.12531969309462915</v>
      </c>
      <c r="I12" s="349">
        <f>IF(ISNUMBER((Tasas!C12-Datos!BE12)/Datos!BE12),(Tasas!C12-Datos!BE12)/Datos!BE12," - ")</f>
        <v>-0.17959180658093685</v>
      </c>
      <c r="J12" s="348">
        <f>IF(ISNUMBER((Tasas!D12-Datos!BF12)/Datos!BF12),(Tasas!D12-Datos!BF12)/Datos!BF12," - ")</f>
        <v>-0.42645946540357582</v>
      </c>
      <c r="K12" s="350">
        <f>IF(ISNUMBER((Tasas!E12-Datos!BG12)/Datos!BG12),(Tasas!E12-Datos!BG12)/Datos!BG12," - ")</f>
        <v>-9.3195169544314185E-2</v>
      </c>
      <c r="M12" t="e">
        <f>IF(Monitorios="SI",Datos!CE12,0)</f>
        <v>#REF!</v>
      </c>
      <c r="N12" t="e">
        <f>IF(Monitorios="SI",Datos!CF12,0)</f>
        <v>#REF!</v>
      </c>
      <c r="O12" t="e">
        <f>IF(Monitorios="SI",Datos!CG12,0)</f>
        <v>#REF!</v>
      </c>
      <c r="P12" t="e">
        <f>IF(Monitorios="SI",Datos!CH12,0)</f>
        <v>#REF!</v>
      </c>
      <c r="Q12">
        <f>IF(J_V="SI",0,Datos!AG12)</f>
        <v>153</v>
      </c>
      <c r="R12">
        <f>IF(J_V="SI",0,Datos!AH12)</f>
        <v>229</v>
      </c>
      <c r="S12">
        <f>IF(J_V="SI",0,Datos!AI12)</f>
        <v>249</v>
      </c>
      <c r="T12">
        <f>IF(J_V="SI",0,Datos!AJ12)</f>
        <v>133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0.1172069825436409</v>
      </c>
      <c r="I13" s="356">
        <f>IF(ISNUMBER((Tasas!C13-Datos!BE13)/Datos!BE13),(Tasas!C13-Datos!BE13)/Datos!BE13," - ")</f>
        <v>-0.16970861154333178</v>
      </c>
      <c r="J13" s="354">
        <f>IF(ISNUMBER((Tasas!D13-Datos!BF13)/Datos!BF13),(Tasas!D13-Datos!BF13)/Datos!BF13," - ")</f>
        <v>-0.42375954505129687</v>
      </c>
      <c r="K13" s="357">
        <f>IF(ISNUMBER((Tasas!E13-Datos!BG13)/Datos!BG13),(Tasas!E13-Datos!BG13)/Datos!BG13," - ")</f>
        <v>-8.8199092994230177E-2</v>
      </c>
      <c r="M13" t="e">
        <f>IF(Monitorios="SI",Datos!CE13,0)</f>
        <v>#REF!</v>
      </c>
      <c r="N13" t="e">
        <f>IF(Monitorios="SI",Datos!CF13,0)</f>
        <v>#REF!</v>
      </c>
      <c r="O13" t="e">
        <f>IF(Monitorios="SI",Datos!CG13,0)</f>
        <v>#REF!</v>
      </c>
      <c r="P13" t="e">
        <f>IF(Monitorios="SI",Datos!CH13,0)</f>
        <v>#REF!</v>
      </c>
      <c r="Q13">
        <f>IF(J_V="SI",0,Datos!AG13)</f>
        <v>153</v>
      </c>
      <c r="R13">
        <f>IF(J_V="SI",0,Datos!AH13)</f>
        <v>229</v>
      </c>
      <c r="S13">
        <f>IF(J_V="SI",0,Datos!AI13)</f>
        <v>249</v>
      </c>
      <c r="T13">
        <f>IF(J_V="SI",0,Datos!AJ13)</f>
        <v>133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-4.8859934853420196E-2</v>
      </c>
      <c r="E16" s="347">
        <f>IF(ISNUMBER(
   IF(D_I="SI",(Datos!J16-Datos!T16)/Datos!T16,(Datos!J16+Datos!AD16-(Datos!T16+Datos!AL16))/(Datos!T16+Datos!AL16))
     ),IF(D_I="SI",(Datos!J16-Datos!T16)/Datos!T16,(Datos!J16+Datos!AD16-(Datos!T16+Datos!AL16))/(Datos!T16+Datos!AL16))," - ")</f>
        <v>0.38120805369127519</v>
      </c>
      <c r="F16" s="347">
        <f>IF(ISNUMBER(
   IF(D_I="SI",(Datos!K16-Datos!U16)/Datos!U16,(Datos!K16+Datos!AE16-(Datos!U16+Datos!AM16))/(Datos!U16+Datos!AM16))
     ),IF(D_I="SI",(Datos!K16-Datos!U16)/Datos!U16,(Datos!K16+Datos!AE16-(Datos!U16+Datos!AM16))/(Datos!U16+Datos!AM16))," - ")</f>
        <v>0.2561307901907357</v>
      </c>
      <c r="G16" s="348">
        <f>IF(ISNUMBER(
   IF(D_I="SI",(Datos!L16-Datos!V16)/Datos!V16,(Datos!L16+Datos!AF16-(Datos!V16+Datos!AN16))/(Datos!V16+Datos!AN16))
     ),IF(D_I="SI",(Datos!L16-Datos!V16)/Datos!V16,(Datos!L16+Datos!AF16-(Datos!V16+Datos!AN16))/(Datos!V16+Datos!AN16))," - ")</f>
        <v>0.46917808219178081</v>
      </c>
      <c r="H16" s="229">
        <f>IF(ISNUMBER((Datos!M16-Datos!W16)/Datos!W16),(Datos!M16-Datos!W16)/Datos!W16," - ")</f>
        <v>3.6900369003690037E-2</v>
      </c>
      <c r="I16" s="349">
        <f>IF(ISNUMBER((Tasas!C16-Datos!BE16)/Datos!BE16),(Tasas!C16-Datos!BE16)/Datos!BE16," - ")</f>
        <v>0.16960597866460642</v>
      </c>
      <c r="J16" s="348">
        <f>IF(ISNUMBER((Tasas!D16-Datos!BF16)/Datos!BF16),(Tasas!D16-Datos!BF16)/Datos!BF16," - ")</f>
        <v>-0.17452833964348316</v>
      </c>
      <c r="K16" s="350">
        <f>IF(ISNUMBER((Tasas!E16-Datos!BG16)/Datos!BG16),(Tasas!E16-Datos!BG16)/Datos!BG16," - ")</f>
        <v>-3.1213589918225537E-2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7.8431372549019607E-2</v>
      </c>
      <c r="E17" s="347">
        <f>IF(ISNUMBER(
   IF(D_I="SI",(Datos!J17-Datos!T17)/Datos!T17,(Datos!J17+Datos!AD17-(Datos!T17+Datos!AL17))/(Datos!T17+Datos!AL17))
     ),IF(D_I="SI",(Datos!J17-Datos!T17)/Datos!T17,(Datos!J17+Datos!AD17-(Datos!T17+Datos!AL17))/(Datos!T17+Datos!AL17))," - ")</f>
        <v>-8.7999999999999995E-2</v>
      </c>
      <c r="F17" s="347">
        <f>IF(ISNUMBER(
   IF(D_I="SI",(Datos!K17-Datos!U17)/Datos!U17,(Datos!K17+Datos!AE17-(Datos!U17+Datos!AM17))/(Datos!U17+Datos!AM17))
     ),IF(D_I="SI",(Datos!K17-Datos!U17)/Datos!U17,(Datos!K17+Datos!AE17-(Datos!U17+Datos!AM17))/(Datos!U17+Datos!AM17))," - ")</f>
        <v>-0.17760617760617761</v>
      </c>
      <c r="G17" s="348">
        <f>IF(ISNUMBER(
   IF(D_I="SI",(Datos!L17-Datos!V17)/Datos!V17,(Datos!L17+Datos!AF17-(Datos!V17+Datos!AN17))/(Datos!V17+Datos!AN17))
     ),IF(D_I="SI",(Datos!L17-Datos!V17)/Datos!V17,(Datos!L17+Datos!AF17-(Datos!V17+Datos!AN17))/(Datos!V17+Datos!AN17))," - ")</f>
        <v>0.13636363636363635</v>
      </c>
      <c r="H17" s="229">
        <f>IF(ISNUMBER((Datos!M17-Datos!W17)/Datos!W17),(Datos!M17-Datos!W17)/Datos!W17," - ")</f>
        <v>-0.18518518518518517</v>
      </c>
      <c r="I17" s="349">
        <f>IF(ISNUMBER((Tasas!C17-Datos!BE17)/Datos!BE17),(Tasas!C17-Datos!BE17)/Datos!BE17," - ")</f>
        <v>0.38177550149381151</v>
      </c>
      <c r="J17" s="348">
        <f>IF(ISNUMBER((Tasas!D17-Datos!BF17)/Datos!BF17),(Tasas!D17-Datos!BF17)/Datos!BF17," - ")</f>
        <v>-9.2157885585115052E-3</v>
      </c>
      <c r="K17" s="350">
        <f>IF(ISNUMBER((Tasas!E17-Datos!BG17)/Datos!BG17),(Tasas!E17-Datos!BG17)/Datos!BG17," - ")</f>
        <v>0.16760029876227067</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-3.6168132942326493E-2</v>
      </c>
      <c r="E18" s="353">
        <f>IF(ISNUMBER(
   IF(D_I="SI",(Datos!J18-Datos!T18)/Datos!T18,(Datos!J18+Datos!AD18-(Datos!T18+Datos!AL18))/(Datos!T18+Datos!AL18))
     ),IF(D_I="SI",(Datos!J18-Datos!T18)/Datos!T18,(Datos!J18+Datos!AD18-(Datos!T18+Datos!AL18))/(Datos!T18+Datos!AL18))," - ")</f>
        <v>0.31379310344827588</v>
      </c>
      <c r="F18" s="353">
        <f>IF(ISNUMBER(
   IF(D_I="SI",(Datos!K18-Datos!U18)/Datos!U18,(Datos!K18+Datos!AE18-(Datos!U18+Datos!AM18))/(Datos!U18+Datos!AM18))
     ),IF(D_I="SI",(Datos!K18-Datos!U18)/Datos!U18,(Datos!K18+Datos!AE18-(Datos!U18+Datos!AM18))/(Datos!U18+Datos!AM18))," - ")</f>
        <v>0.19108280254777071</v>
      </c>
      <c r="G18" s="354">
        <f>IF(ISNUMBER(
   IF(D_I="SI",(Datos!L18-Datos!V18)/Datos!V18,(Datos!L18+Datos!AF18-(Datos!V18+Datos!AN18))/(Datos!V18+Datos!AN18))
     ),IF(D_I="SI",(Datos!L18-Datos!V18)/Datos!V18,(Datos!L18+Datos!AF18-(Datos!V18+Datos!AN18))/(Datos!V18+Datos!AN18))," - ")</f>
        <v>0.43204868154158216</v>
      </c>
      <c r="H18" s="355">
        <f>IF(ISNUMBER((Datos!M18-Datos!W18)/Datos!W18),(Datos!M18-Datos!W18)/Datos!W18," - ")</f>
        <v>1.6778523489932886E-2</v>
      </c>
      <c r="I18" s="356">
        <f>IF(ISNUMBER((Tasas!C18-Datos!BE18)/Datos!BE18),(Tasas!C18-Datos!BE18)/Datos!BE18," - ")</f>
        <v>0.2023082513477456</v>
      </c>
      <c r="J18" s="354">
        <f>IF(ISNUMBER((Tasas!D18-Datos!BF18)/Datos!BF18),(Tasas!D18-Datos!BF18)/Datos!BF18," - ")</f>
        <v>-0.14634102573305097</v>
      </c>
      <c r="K18" s="357">
        <f>IF(ISNUMBER((Tasas!E18-Datos!BG18)/Datos!BG18),(Tasas!E18-Datos!BG18)/Datos!BG18," - ")</f>
        <v>-5.7617756410629044E-3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8.7242437527400268E-2</v>
      </c>
      <c r="E19" s="362">
        <f>IF(ISNUMBER(
   IF(J_V="SI",(Datos!J19-Datos!T19)/Datos!T19,(Datos!J19+Datos!Z19-(Datos!T19+Datos!AH19))/(Datos!T19+Datos!AH19))
     ),IF(J_V="SI",(Datos!J19-Datos!T19)/Datos!T19,(Datos!J19+Datos!Z19-(Datos!T19+Datos!AH19))/(Datos!T19+Datos!AH19))," - ")</f>
        <v>0.11727891156462585</v>
      </c>
      <c r="F19" s="362">
        <f>IF(ISNUMBER(
   IF(J_V="SI",(Datos!K19-Datos!U19)/Datos!U19,(Datos!K19+Datos!AA19-(Datos!U19+Datos!AI19))/(Datos!U19+Datos!AI19))
     ),IF(J_V="SI",(Datos!K19-Datos!U19)/Datos!U19,(Datos!K19+Datos!AA19-(Datos!U19+Datos!AI19))/(Datos!U19+Datos!AI19))," - ")</f>
        <v>0.16473317865429235</v>
      </c>
      <c r="G19" s="363">
        <f>IF(ISNUMBER(
   IF(J_V="SI",(Datos!L19-Datos!V19)/Datos!V19,(Datos!L19+Datos!AB19-(Datos!V19+Datos!AJ19))/(Datos!V19+Datos!AJ19))
     ),IF(J_V="SI",(Datos!L19-Datos!V19)/Datos!V19,(Datos!L19+Datos!AB19-(Datos!V19+Datos!AJ19))/(Datos!V19+Datos!AJ19))," - ")</f>
        <v>0.13870967741935483</v>
      </c>
      <c r="H19" s="364">
        <f>IF(ISNUMBER((Datos!M19-Datos!W19)/Datos!W19),(Datos!M19-Datos!W19)/Datos!W19," - ")</f>
        <v>7.4391988555078684E-2</v>
      </c>
      <c r="I19" s="361">
        <f>IF(ISNUMBER((Tasas!C19-Datos!BE19)/Datos!BE19),(Tasas!C19-Datos!BE19)/Datos!BE19," - ")</f>
        <v>-2.2342886518442375E-2</v>
      </c>
      <c r="J19" s="362">
        <f>IF(ISNUMBER((Tasas!D19-Datos!BF19)/Datos!BF19),(Tasas!D19-Datos!BF19)/Datos!BF19," - ")</f>
        <v>-0.34272898213466219</v>
      </c>
      <c r="K19" s="363">
        <f>IF(ISNUMBER((Tasas!E19-Datos!BG19)/Datos!BG19),(Tasas!E19-Datos!BG19)/Datos!BG19," - ")</f>
        <v>-5.0618881090814673E-2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0.32963823298706685</v>
      </c>
      <c r="E21" s="277">
        <f t="shared" si="1"/>
        <v>0.20962161920586825</v>
      </c>
      <c r="F21" s="277">
        <f t="shared" si="1"/>
        <v>0.19620357953202089</v>
      </c>
      <c r="G21" s="278">
        <f t="shared" si="1"/>
        <v>0.16025233862542876</v>
      </c>
      <c r="H21" s="284">
        <f t="shared" si="1"/>
        <v>0.14426340429067544</v>
      </c>
      <c r="I21" s="276">
        <f t="shared" si="1"/>
        <v>0.27066464630617176</v>
      </c>
      <c r="J21" s="277">
        <f t="shared" si="1"/>
        <v>0.16483971883363654</v>
      </c>
      <c r="K21" s="278">
        <f t="shared" si="1"/>
        <v>0.16688988581562472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Soxip8N9GpQAq6qIo2rKVqJBdr4FVF3iHRuhlHsk+wWYCrcX9pTBJ9l8Wqz+iCbdx74K4kZFZAJeOxpBwkRKQg==" saltValue="KpDXjHkrUqKp/J8rcRs1B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2026-03-18T08:23:39Z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